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C:\Users\B305691\AppData\Roaming\cBrain\F2\Temp\9432823\"/>
    </mc:Choice>
  </mc:AlternateContent>
  <bookViews>
    <workbookView xWindow="0" yWindow="60" windowWidth="12285" windowHeight="5715" tabRatio="897" activeTab="2"/>
  </bookViews>
  <sheets>
    <sheet name="1 Forside" sheetId="1" r:id="rId1"/>
    <sheet name="2 Vejledning" sheetId="20" r:id="rId2"/>
    <sheet name="3 Spørgeramme" sheetId="9" r:id="rId3"/>
    <sheet name="4 Opsummering" sheetId="14" r:id="rId4"/>
    <sheet name="S_InputArk" sheetId="13" state="hidden" r:id="rId5"/>
    <sheet name="S_Resultater" sheetId="12" state="hidden" r:id="rId6"/>
    <sheet name="S_Lookupsheet" sheetId="11" state="hidden" r:id="rId7"/>
  </sheets>
  <externalReferences>
    <externalReference r:id="rId8"/>
  </externalReferences>
  <definedNames>
    <definedName name="Beskæftigelsesministeriet" localSheetId="1">[1]!Table3[Beskæftigelses-ministeriet]</definedName>
    <definedName name="Beskæftigelsesministeriet">Table3[Beskæftigelsesministeriet]</definedName>
    <definedName name="BørneogSocialministeriet" localSheetId="1">[1]!Table4[Børne- og Socialministeriet]</definedName>
    <definedName name="BørneogUndervisningsministeriet">Table19[Børne- og Undervisningsministeriet]</definedName>
    <definedName name="CopyRange">'3 Spørgeramme'!$A$20:$Z$40</definedName>
    <definedName name="Date" localSheetId="1">'[1]2 Spørgeramme '!$G$17</definedName>
    <definedName name="Date">'3 Spørgeramme'!$G$17</definedName>
    <definedName name="DigitaliseringsogLigestillingsministeriet">Min_1[Digitaliserings- og Ligestillingsministeriet]</definedName>
    <definedName name="EnergiForsyningsogKlimaministeriet" localSheetId="1">[1]!Table5[Energi-, Forsynings- og Klimaministeriet]</definedName>
    <definedName name="Erhvervsministeriet" localSheetId="1">[1]!Table6[Erhvervsministeriet]</definedName>
    <definedName name="Erhvervsministeriet">Table6[Erhvervsministeriet]</definedName>
    <definedName name="Finansministeriet" localSheetId="1">[1]!Table7[Finansministeriet]</definedName>
    <definedName name="Finansministeriet">Table7[Finansministeriet]</definedName>
    <definedName name="Forsvarsministeriet" localSheetId="1">[1]!Table8[Forsvars-ministeriet]</definedName>
    <definedName name="Forsvarsministeriet">Table8[Forsvarsministeriet]</definedName>
    <definedName name="IndenrigsogSundhedsministeriet">Table14[Indenrigs- og Sundhedsministeriet]</definedName>
    <definedName name="InputColumns_NR">'3 Spørgeramme'!$G$31:$K$1048576</definedName>
    <definedName name="Justitsministeriet" localSheetId="1">[1]!Table9[Justitsministeriet]</definedName>
    <definedName name="Justitsministeriet">Table9[Justitsministeriet]</definedName>
    <definedName name="Kirkeministeriet" localSheetId="1">[1]!Table10[Kirkeministeriet]</definedName>
    <definedName name="KlimaEnergiogForsyningsministeriet">Table5[Klima-, Energi- og Forsyningsministeriet]</definedName>
    <definedName name="Kulturministeriet" localSheetId="1">[1]!Table11[Kulturministeriet]</definedName>
    <definedName name="Kulturministeriet">Table11[Kulturministeriet]</definedName>
    <definedName name="kvalitetsstyringsprincip" localSheetId="1">[1]!Table_Kategorisering[Kvalitetsstyringsprincip]</definedName>
    <definedName name="kvalitetsstyringsprincip">Table_Kategorisering[ISO-kapitler]</definedName>
    <definedName name="Mail" localSheetId="1">'[1]2 Spørgeramme '!$G$15</definedName>
    <definedName name="Mail">'3 Spørgeramme'!$G$15</definedName>
    <definedName name="MiljøogFødevareministeriet" localSheetId="1">[1]!Table12[Miljø- og Fødevare-ministeriet]</definedName>
    <definedName name="Ministerie_2">Økonomiministeriet[Økonomiministeriet]</definedName>
    <definedName name="MinisterietforFødevarerLandbrugogFiskeri">Table12[Ministeriet for Fødevarer, Landbrug og Fiskeri]</definedName>
    <definedName name="MinisterietforKirkeLanddistrikterogNordisksamarbejde">Table10[Ministeriet for Kirke, Landdistrikter og Nordisk samarbejde]</definedName>
    <definedName name="MinisterietforUdviklingssamarbejdeogGlobalklimapolitik">Min_3[Ministeriet for Udviklingssamarbejde og Global klimapolitik]</definedName>
    <definedName name="Ministerium" localSheetId="1">[1]!Table2[Ministerium]</definedName>
    <definedName name="Ministerium">Table2[Ministerium]</definedName>
    <definedName name="Ministeriuminput" localSheetId="1">'[1]2 Spørgeramme '!$G$9</definedName>
    <definedName name="Ministeriuminput">'3 Spørgeramme'!$G$9</definedName>
    <definedName name="ModelSetting_NR">S_InputArk!$F$2</definedName>
    <definedName name="Modenhedsgrad" localSheetId="1">[1]!Table_Modenhedsskala[Modenhedsgrad]</definedName>
    <definedName name="Modenhedsgrad">Table_Modenhedsskala[Modenhedsgrad]</definedName>
    <definedName name="Name" localSheetId="1">'[1]2 Spørgeramme '!$G$13</definedName>
    <definedName name="Name">'3 Spørgeramme'!$G$13</definedName>
    <definedName name="Område" localSheetId="1">[1]!Table_Questions[Område]</definedName>
    <definedName name="Område">Table_Questions[Område]</definedName>
    <definedName name="Range_Oensket">OFFSET(S_Resultater!$O$2,,,LEFT(INDEX(Table_Questions[Område],MATCH("Ikke angivet",Table_Questions[Titel/Tema],0)),LEN(INDEX(Table_Questions[Område],MATCH("Ikke angivet",Table_Questions[Titel/Tema],0)))-1)-1)</definedName>
    <definedName name="Range_Resultater">OFFSET(S_Resultater!$N$2,,,LEFT(INDEX(Table_Questions[Område],MATCH("Ikke angivet",Table_Questions[Titel/Tema],0)),LEN(INDEX(Table_Questions[Område],MATCH("Ikke angivet",Table_Questions[Titel/Tema],0)))-1)-1)</definedName>
    <definedName name="Range_Spg">OFFSET(S_Resultater!$M$2,,,LEFT(INDEX(Table_Questions[Område],MATCH("Ikke angivet",Table_Questions[Titel/Tema],0)),LEN(INDEX(Table_Questions[Område],MATCH("Ikke angivet",Table_Questions[Titel/Tema],0)))-1)-1)</definedName>
    <definedName name="rating" localSheetId="1">#REF!</definedName>
    <definedName name="rating">#REF!</definedName>
    <definedName name="Skatteministeriet" localSheetId="1">[1]!Table13[Skatteministeriet]</definedName>
    <definedName name="Skatteministeriet">Table13[Skatteministeriet]</definedName>
    <definedName name="SocialBoligogÆldreministeriet">Table4[Social-, Bolig- og Ældreministeriet]</definedName>
    <definedName name="Spørgeramme">Table_Spørgeramme[Spørgeramme]</definedName>
    <definedName name="Styrelse" localSheetId="1">'[1]2 Spørgeramme '!$G$11</definedName>
    <definedName name="Styrelse">'3 Spørgeramme'!$G$11</definedName>
    <definedName name="SundhedsogÆldreministeriet" localSheetId="1">[1]!Table14[Sundheds- og Ældreministeriet]</definedName>
    <definedName name="TransportBygningsogBoligministeriet" localSheetId="1">[1]!Table15[Transport-, Bygnings- og Boligministeriet]</definedName>
    <definedName name="Transportministeriet">Table15[Transportministeriet]</definedName>
    <definedName name="UddannelsesogForskningsministeriet" localSheetId="1">[1]!Table16[Uddannelses- og Forsknings-ministeriet]</definedName>
    <definedName name="UddannelsesogForskningsministeriet">Table16[Uddannelses- og Forskningsministeriet]</definedName>
    <definedName name="Udenrigsministeriet" localSheetId="1">[1]!Table17[Udenrigsministeriet]</definedName>
    <definedName name="Udenrigsministeriet">Table17[Udenrigsministeriet]</definedName>
    <definedName name="UdlændingeogIntegrationsministeriet" localSheetId="1">[1]!Table18[Udlændinge- og Integrations-ministeriet]</definedName>
    <definedName name="UdlændingeogIntegrationsministeriet">Table18[Udlændinge- og Integrationsministeriet]</definedName>
    <definedName name="_xlnm.Print_Area" localSheetId="3">'4 Opsummering'!$B:$XFD</definedName>
    <definedName name="Undervisningsministeriet" localSheetId="1">[1]!Table19[Undervisnings-ministeriet]</definedName>
    <definedName name="ØkonomiogIndenrigsministeriet" localSheetId="1">[1]!Table20[Økonomi- og Indenrigsministeriet]</definedName>
    <definedName name="ØkonomiogIndenrigsministeriet">Table20[Kolonne1]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63" i="9" l="1"/>
  <c r="E83" i="9"/>
  <c r="H18" i="12"/>
  <c r="E123" i="9"/>
  <c r="E23" i="9"/>
  <c r="D141" i="9"/>
  <c r="E143" i="9"/>
  <c r="D161" i="9"/>
  <c r="E67" i="9" l="1"/>
  <c r="E27" i="9"/>
  <c r="E47" i="9"/>
  <c r="O3" i="12" l="1"/>
  <c r="O4" i="12"/>
  <c r="O5" i="12"/>
  <c r="O6" i="12"/>
  <c r="O7" i="12"/>
  <c r="O8" i="12"/>
  <c r="O9" i="12"/>
  <c r="O10" i="12"/>
  <c r="O11" i="12"/>
  <c r="L2" i="12"/>
  <c r="L3" i="12"/>
  <c r="L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K2" i="12"/>
  <c r="K3"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O198" i="9" l="1"/>
  <c r="O178" i="9"/>
  <c r="O158" i="9"/>
  <c r="O138" i="9"/>
  <c r="O118" i="9"/>
  <c r="O98" i="9"/>
  <c r="O78" i="9"/>
  <c r="O58" i="9"/>
  <c r="O38" i="9"/>
  <c r="E130" i="14" l="1"/>
  <c r="BK3" i="11" l="1"/>
  <c r="BK4" i="11"/>
  <c r="BK5" i="11"/>
  <c r="BK6" i="11"/>
  <c r="BK7" i="11"/>
  <c r="BK8" i="11"/>
  <c r="BK9" i="11"/>
  <c r="BK10" i="11"/>
  <c r="BK2" i="11"/>
  <c r="C31" i="14" l="1"/>
  <c r="U29" i="14"/>
  <c r="S29" i="14"/>
  <c r="Q29" i="14"/>
  <c r="O29" i="14"/>
  <c r="M29" i="14"/>
  <c r="K29" i="14"/>
  <c r="I29" i="14"/>
  <c r="H30" i="14" s="1"/>
  <c r="G29" i="14"/>
  <c r="E29" i="14"/>
  <c r="C33" i="14"/>
  <c r="D30" i="14" l="1"/>
  <c r="J30" i="14"/>
  <c r="F30" i="14"/>
  <c r="L30" i="14"/>
  <c r="N30" i="14"/>
  <c r="P30" i="14"/>
  <c r="R30" i="14"/>
  <c r="T30" i="14"/>
  <c r="Q130" i="14" l="1"/>
  <c r="Q100" i="14"/>
  <c r="E100" i="14"/>
  <c r="Q70" i="14"/>
  <c r="E70" i="14"/>
  <c r="E40" i="14"/>
  <c r="Q40" i="14"/>
  <c r="C158" i="14"/>
  <c r="BB2" i="11"/>
  <c r="BB3" i="11"/>
  <c r="BB4" i="11"/>
  <c r="BB5" i="11"/>
  <c r="BB6" i="11"/>
  <c r="BB7" i="11"/>
  <c r="BB8" i="11"/>
  <c r="BB9" i="11"/>
  <c r="BB10" i="11"/>
  <c r="BG2" i="11"/>
  <c r="BG8" i="11"/>
  <c r="BG14" i="11"/>
  <c r="BG20" i="11"/>
  <c r="BG26" i="11"/>
  <c r="BG32" i="11"/>
  <c r="BG38" i="11"/>
  <c r="BG44" i="11"/>
  <c r="BG50" i="11"/>
  <c r="H5" i="13" l="1"/>
  <c r="AD34" i="9" l="1"/>
  <c r="B35" i="13" l="1"/>
  <c r="B29" i="13"/>
  <c r="B26" i="13"/>
  <c r="B24" i="13"/>
  <c r="B22" i="13"/>
  <c r="O2" i="12"/>
  <c r="K161" i="14" l="1"/>
  <c r="C161" i="14"/>
  <c r="M3" i="12"/>
  <c r="M4" i="12"/>
  <c r="M5" i="12"/>
  <c r="M6" i="12"/>
  <c r="M7" i="12"/>
  <c r="M8" i="12"/>
  <c r="M9" i="12"/>
  <c r="M10" i="12"/>
  <c r="M11" i="12"/>
  <c r="M2" i="12"/>
  <c r="I19" i="13"/>
  <c r="A58" i="12" l="1"/>
  <c r="A59" i="12"/>
  <c r="A60" i="12"/>
  <c r="A61" i="12"/>
  <c r="B58" i="12"/>
  <c r="B59" i="12"/>
  <c r="B60" i="12"/>
  <c r="B61" i="12"/>
  <c r="C58" i="12"/>
  <c r="C59" i="12"/>
  <c r="C60" i="12"/>
  <c r="C61" i="12"/>
  <c r="D58" i="12"/>
  <c r="D59" i="12"/>
  <c r="D60" i="12"/>
  <c r="D61" i="12"/>
  <c r="E58" i="12"/>
  <c r="E59" i="12"/>
  <c r="E60" i="12"/>
  <c r="E61" i="12"/>
  <c r="G58" i="12"/>
  <c r="G59" i="12"/>
  <c r="H59" i="12" s="1"/>
  <c r="G60" i="12"/>
  <c r="H60" i="12" s="1"/>
  <c r="G61" i="12"/>
  <c r="A44" i="12"/>
  <c r="A45" i="12"/>
  <c r="A46" i="12"/>
  <c r="A47" i="12"/>
  <c r="A48" i="12"/>
  <c r="A49" i="12"/>
  <c r="A50" i="12"/>
  <c r="A51" i="12"/>
  <c r="A52" i="12"/>
  <c r="A53" i="12"/>
  <c r="A54" i="12"/>
  <c r="A55" i="12"/>
  <c r="A56" i="12"/>
  <c r="A57" i="12"/>
  <c r="B44" i="12"/>
  <c r="B45" i="12"/>
  <c r="B46" i="12"/>
  <c r="B47" i="12"/>
  <c r="B48" i="12"/>
  <c r="B49" i="12"/>
  <c r="B50" i="12"/>
  <c r="B51" i="12"/>
  <c r="B52" i="12"/>
  <c r="B53" i="12"/>
  <c r="B54" i="12"/>
  <c r="B55" i="12"/>
  <c r="B56" i="12"/>
  <c r="B57" i="12"/>
  <c r="C44" i="12"/>
  <c r="C45" i="12"/>
  <c r="C46" i="12"/>
  <c r="C47" i="12"/>
  <c r="C48" i="12"/>
  <c r="C49" i="12"/>
  <c r="C50" i="12"/>
  <c r="C51" i="12"/>
  <c r="C52" i="12"/>
  <c r="C53" i="12"/>
  <c r="C54" i="12"/>
  <c r="C55" i="12"/>
  <c r="C56" i="12"/>
  <c r="C57" i="12"/>
  <c r="D44" i="12"/>
  <c r="D45" i="12"/>
  <c r="D46" i="12"/>
  <c r="D47" i="12"/>
  <c r="D48" i="12"/>
  <c r="D49" i="12"/>
  <c r="D50" i="12"/>
  <c r="D51" i="12"/>
  <c r="D52" i="12"/>
  <c r="D53" i="12"/>
  <c r="D54" i="12"/>
  <c r="D55" i="12"/>
  <c r="D56" i="12"/>
  <c r="D57" i="12"/>
  <c r="E44" i="12"/>
  <c r="E45" i="12"/>
  <c r="E46" i="12"/>
  <c r="E47" i="12"/>
  <c r="E48" i="12"/>
  <c r="E49" i="12"/>
  <c r="E50" i="12"/>
  <c r="E51" i="12"/>
  <c r="E52" i="12"/>
  <c r="E53" i="12"/>
  <c r="E54" i="12"/>
  <c r="E55" i="12"/>
  <c r="E56" i="12"/>
  <c r="E57" i="12"/>
  <c r="G44" i="12"/>
  <c r="G45" i="12"/>
  <c r="G46" i="12"/>
  <c r="H46" i="12" s="1"/>
  <c r="G47" i="12"/>
  <c r="H47" i="12" s="1"/>
  <c r="G48" i="12"/>
  <c r="H48" i="12" s="1"/>
  <c r="G49" i="12"/>
  <c r="G50" i="12"/>
  <c r="G51" i="12"/>
  <c r="H51" i="12" s="1"/>
  <c r="G52" i="12"/>
  <c r="G53" i="12"/>
  <c r="G54" i="12"/>
  <c r="H54" i="12" s="1"/>
  <c r="G55" i="12"/>
  <c r="H55" i="12" s="1"/>
  <c r="G56" i="12"/>
  <c r="G57" i="12"/>
  <c r="P6" i="13"/>
  <c r="P7" i="13"/>
  <c r="P8" i="13"/>
  <c r="P10" i="13"/>
  <c r="P11" i="13"/>
  <c r="P12" i="13"/>
  <c r="P14" i="13"/>
  <c r="P15" i="13"/>
  <c r="P16" i="13"/>
  <c r="P18" i="13"/>
  <c r="P19" i="13"/>
  <c r="P20" i="13"/>
  <c r="P22" i="13"/>
  <c r="P23" i="13"/>
  <c r="P24" i="13"/>
  <c r="P26" i="13"/>
  <c r="P27" i="13"/>
  <c r="P28" i="13"/>
  <c r="P30" i="13"/>
  <c r="P31" i="13"/>
  <c r="P32" i="13"/>
  <c r="P34" i="13"/>
  <c r="P35" i="13"/>
  <c r="P36" i="13"/>
  <c r="P38" i="13"/>
  <c r="P39" i="13"/>
  <c r="P40" i="13"/>
  <c r="P42" i="13"/>
  <c r="P43" i="13"/>
  <c r="P44" i="13"/>
  <c r="P46" i="13"/>
  <c r="P47" i="13"/>
  <c r="P48" i="13"/>
  <c r="P50" i="13"/>
  <c r="P51" i="13"/>
  <c r="P52" i="13"/>
  <c r="P54" i="13"/>
  <c r="P55" i="13"/>
  <c r="P56" i="13"/>
  <c r="P58" i="13"/>
  <c r="P59" i="13"/>
  <c r="P60" i="13"/>
  <c r="P62" i="13"/>
  <c r="P63" i="13"/>
  <c r="P64" i="13"/>
  <c r="P66" i="13"/>
  <c r="P67" i="13"/>
  <c r="P68" i="13"/>
  <c r="P70" i="13"/>
  <c r="P71" i="13"/>
  <c r="P72" i="13"/>
  <c r="P74" i="13"/>
  <c r="P75" i="13"/>
  <c r="P76" i="13"/>
  <c r="P78" i="13"/>
  <c r="P79" i="13"/>
  <c r="P80" i="13"/>
  <c r="P82" i="13"/>
  <c r="P83" i="13"/>
  <c r="P84" i="13"/>
  <c r="P86" i="13"/>
  <c r="P87" i="13"/>
  <c r="P88" i="13"/>
  <c r="P90" i="13"/>
  <c r="P91" i="13"/>
  <c r="P92" i="13"/>
  <c r="P94" i="13"/>
  <c r="P95" i="13"/>
  <c r="P96" i="13"/>
  <c r="P98" i="13"/>
  <c r="P99" i="13"/>
  <c r="P100" i="13"/>
  <c r="P102" i="13"/>
  <c r="P103" i="13"/>
  <c r="P104" i="13"/>
  <c r="P106" i="13"/>
  <c r="P107" i="13"/>
  <c r="P108" i="13"/>
  <c r="P110" i="13"/>
  <c r="P111" i="13"/>
  <c r="P112" i="13"/>
  <c r="P114" i="13"/>
  <c r="P115" i="13"/>
  <c r="P116" i="13"/>
  <c r="P118" i="13"/>
  <c r="P119" i="13"/>
  <c r="P120" i="13"/>
  <c r="P122" i="13"/>
  <c r="P123" i="13"/>
  <c r="P124" i="13"/>
  <c r="P126" i="13"/>
  <c r="P127" i="13"/>
  <c r="P128" i="13"/>
  <c r="P130" i="13"/>
  <c r="P131" i="13"/>
  <c r="P132" i="13"/>
  <c r="P134" i="13"/>
  <c r="P135" i="13"/>
  <c r="P136" i="13"/>
  <c r="P138" i="13"/>
  <c r="P139" i="13"/>
  <c r="P140" i="13"/>
  <c r="P142" i="13"/>
  <c r="P143" i="13"/>
  <c r="P144" i="13"/>
  <c r="P146" i="13"/>
  <c r="P147" i="13"/>
  <c r="P148" i="13"/>
  <c r="P150" i="13"/>
  <c r="P151" i="13"/>
  <c r="P152" i="13"/>
  <c r="P154" i="13"/>
  <c r="P155" i="13"/>
  <c r="P156" i="13"/>
  <c r="P158" i="13"/>
  <c r="P159" i="13"/>
  <c r="P160" i="13"/>
  <c r="P162" i="13"/>
  <c r="P163" i="13"/>
  <c r="P164" i="13"/>
  <c r="P166" i="13"/>
  <c r="P167" i="13"/>
  <c r="P168" i="13"/>
  <c r="P170" i="13"/>
  <c r="P171" i="13"/>
  <c r="P172" i="13"/>
  <c r="P174" i="13"/>
  <c r="P175" i="13"/>
  <c r="P176" i="13"/>
  <c r="P178" i="13"/>
  <c r="P179" i="13"/>
  <c r="P180" i="13"/>
  <c r="P182" i="13"/>
  <c r="P183" i="13"/>
  <c r="P184" i="13"/>
  <c r="P186" i="13"/>
  <c r="P187" i="13"/>
  <c r="P188" i="13"/>
  <c r="P190" i="13"/>
  <c r="P191" i="13"/>
  <c r="P192" i="13"/>
  <c r="P194" i="13"/>
  <c r="P195" i="13"/>
  <c r="P196" i="13"/>
  <c r="P198" i="13"/>
  <c r="P199" i="13"/>
  <c r="P200" i="13"/>
  <c r="P202" i="13"/>
  <c r="P203" i="13"/>
  <c r="P204" i="13"/>
  <c r="P206" i="13"/>
  <c r="P207" i="13"/>
  <c r="P208" i="13"/>
  <c r="P210" i="13"/>
  <c r="P211" i="13"/>
  <c r="P212" i="13"/>
  <c r="P214" i="13"/>
  <c r="P215" i="13"/>
  <c r="P216" i="13"/>
  <c r="P218" i="13"/>
  <c r="P219" i="13"/>
  <c r="P220" i="13"/>
  <c r="P222" i="13"/>
  <c r="P223" i="13"/>
  <c r="P224" i="13"/>
  <c r="P226" i="13"/>
  <c r="P227" i="13"/>
  <c r="P228" i="13"/>
  <c r="P230" i="13"/>
  <c r="P231" i="13"/>
  <c r="P232" i="13"/>
  <c r="P234" i="13"/>
  <c r="P235" i="13"/>
  <c r="P236" i="13"/>
  <c r="P238" i="13"/>
  <c r="P239" i="13"/>
  <c r="P240" i="13"/>
  <c r="P242" i="13"/>
  <c r="P243" i="13"/>
  <c r="P244" i="13"/>
  <c r="P246" i="13"/>
  <c r="P247" i="13"/>
  <c r="P248" i="13"/>
  <c r="P250" i="13"/>
  <c r="P251" i="13"/>
  <c r="P252" i="13"/>
  <c r="P254" i="13"/>
  <c r="P255" i="13"/>
  <c r="P256" i="13"/>
  <c r="P258" i="13"/>
  <c r="P259" i="13"/>
  <c r="P260" i="13"/>
  <c r="P262" i="13"/>
  <c r="P263" i="13"/>
  <c r="P264" i="13"/>
  <c r="P266" i="13"/>
  <c r="P267" i="13"/>
  <c r="P268" i="13"/>
  <c r="P270" i="13"/>
  <c r="P271" i="13"/>
  <c r="P272" i="13"/>
  <c r="P274" i="13"/>
  <c r="P275" i="13"/>
  <c r="P276" i="13"/>
  <c r="P278" i="13"/>
  <c r="P279" i="13"/>
  <c r="P280" i="13"/>
  <c r="P282" i="13"/>
  <c r="P283" i="13"/>
  <c r="P284" i="13"/>
  <c r="P286" i="13"/>
  <c r="P287" i="13"/>
  <c r="P288" i="13"/>
  <c r="P290" i="13"/>
  <c r="P291" i="13"/>
  <c r="P292" i="13"/>
  <c r="P294" i="13"/>
  <c r="P295" i="13"/>
  <c r="P296" i="13"/>
  <c r="P298" i="13"/>
  <c r="P299" i="13"/>
  <c r="P300" i="13"/>
  <c r="P302" i="13"/>
  <c r="P303" i="13"/>
  <c r="P304" i="13"/>
  <c r="F45" i="12" l="1"/>
  <c r="H45" i="12"/>
  <c r="J44" i="12"/>
  <c r="H44" i="12"/>
  <c r="J50" i="12"/>
  <c r="H50" i="12"/>
  <c r="J58" i="12"/>
  <c r="H58" i="12"/>
  <c r="J57" i="12"/>
  <c r="H57" i="12"/>
  <c r="J49" i="12"/>
  <c r="H49" i="12"/>
  <c r="F56" i="12"/>
  <c r="H56" i="12"/>
  <c r="F61" i="12"/>
  <c r="H61" i="12"/>
  <c r="F53" i="12"/>
  <c r="H53" i="12"/>
  <c r="J52" i="12"/>
  <c r="H52" i="12"/>
  <c r="J51" i="12"/>
  <c r="F51" i="12"/>
  <c r="J59" i="12"/>
  <c r="F59" i="12"/>
  <c r="F60" i="12"/>
  <c r="F52" i="12"/>
  <c r="F44" i="12"/>
  <c r="J56" i="12"/>
  <c r="J48" i="12"/>
  <c r="F58" i="12"/>
  <c r="F50" i="12"/>
  <c r="J54" i="12"/>
  <c r="J46" i="12"/>
  <c r="J55" i="12"/>
  <c r="F57" i="12"/>
  <c r="F49" i="12"/>
  <c r="J61" i="12"/>
  <c r="J53" i="12"/>
  <c r="J45" i="12"/>
  <c r="J47" i="12"/>
  <c r="F48" i="12"/>
  <c r="J60" i="12"/>
  <c r="F55" i="12"/>
  <c r="F47" i="12"/>
  <c r="F54" i="12"/>
  <c r="F46" i="12"/>
  <c r="N276" i="13"/>
  <c r="N277" i="13"/>
  <c r="P277" i="13" s="1"/>
  <c r="N278" i="13"/>
  <c r="N279" i="13"/>
  <c r="N280" i="13"/>
  <c r="N281" i="13"/>
  <c r="P281" i="13" s="1"/>
  <c r="N282" i="13"/>
  <c r="N283" i="13"/>
  <c r="N284" i="13"/>
  <c r="N285" i="13"/>
  <c r="P285" i="13" s="1"/>
  <c r="N286" i="13"/>
  <c r="N287" i="13"/>
  <c r="N288" i="13"/>
  <c r="N289" i="13"/>
  <c r="P289" i="13" s="1"/>
  <c r="N290" i="13"/>
  <c r="N291" i="13"/>
  <c r="N292" i="13"/>
  <c r="N293" i="13"/>
  <c r="P293" i="13" s="1"/>
  <c r="N294" i="13"/>
  <c r="N295" i="13"/>
  <c r="N296" i="13"/>
  <c r="N297" i="13"/>
  <c r="P297" i="13" s="1"/>
  <c r="N298" i="13"/>
  <c r="N299" i="13"/>
  <c r="N300" i="13"/>
  <c r="N301" i="13"/>
  <c r="P301" i="13" s="1"/>
  <c r="N302" i="13"/>
  <c r="N303" i="13"/>
  <c r="N304" i="13"/>
  <c r="N270" i="13"/>
  <c r="N271" i="13"/>
  <c r="N272" i="13"/>
  <c r="N273" i="13"/>
  <c r="P273" i="13" s="1"/>
  <c r="N274" i="13"/>
  <c r="N275" i="13"/>
  <c r="N269" i="13"/>
  <c r="P269" i="13" s="1"/>
  <c r="N264" i="13"/>
  <c r="N265" i="13"/>
  <c r="P265" i="13" s="1"/>
  <c r="N266" i="13"/>
  <c r="N267" i="13"/>
  <c r="N268" i="13"/>
  <c r="N237" i="13"/>
  <c r="P237" i="13" s="1"/>
  <c r="N238" i="13"/>
  <c r="N239" i="13"/>
  <c r="N240" i="13"/>
  <c r="N241" i="13"/>
  <c r="P241" i="13" s="1"/>
  <c r="N242" i="13"/>
  <c r="N243" i="13"/>
  <c r="N244" i="13"/>
  <c r="N245" i="13"/>
  <c r="P245" i="13" s="1"/>
  <c r="N246" i="13"/>
  <c r="N247" i="13"/>
  <c r="N248" i="13"/>
  <c r="N249" i="13"/>
  <c r="P249" i="13" s="1"/>
  <c r="N250" i="13"/>
  <c r="N251" i="13"/>
  <c r="N252" i="13"/>
  <c r="N253" i="13"/>
  <c r="P253" i="13" s="1"/>
  <c r="N254" i="13"/>
  <c r="N255" i="13"/>
  <c r="N256" i="13"/>
  <c r="N257" i="13"/>
  <c r="P257" i="13" s="1"/>
  <c r="N258" i="13"/>
  <c r="N259" i="13"/>
  <c r="N260" i="13"/>
  <c r="N261" i="13"/>
  <c r="P261" i="13" s="1"/>
  <c r="N262" i="13"/>
  <c r="N263" i="13"/>
  <c r="N215" i="13"/>
  <c r="N216" i="13"/>
  <c r="N217" i="13"/>
  <c r="P217" i="13" s="1"/>
  <c r="N218" i="13"/>
  <c r="N219" i="13"/>
  <c r="N220" i="13"/>
  <c r="N221" i="13"/>
  <c r="P221" i="13" s="1"/>
  <c r="N222" i="13"/>
  <c r="N223" i="13"/>
  <c r="N224" i="13"/>
  <c r="N225" i="13"/>
  <c r="P225" i="13" s="1"/>
  <c r="N226" i="13"/>
  <c r="N227" i="13"/>
  <c r="N228" i="13"/>
  <c r="N229" i="13"/>
  <c r="P229" i="13" s="1"/>
  <c r="N230" i="13"/>
  <c r="N231" i="13"/>
  <c r="N232" i="13"/>
  <c r="N233" i="13"/>
  <c r="P233" i="13" s="1"/>
  <c r="N234" i="13"/>
  <c r="N235" i="13"/>
  <c r="N236" i="13"/>
  <c r="H12" i="13"/>
  <c r="H13" i="13" s="1"/>
  <c r="K217" i="9"/>
  <c r="N210" i="9"/>
  <c r="E209" i="9"/>
  <c r="E189" i="9"/>
  <c r="K177" i="9"/>
  <c r="E169" i="9"/>
  <c r="H14" i="13" l="1"/>
  <c r="E149" i="9" l="1"/>
  <c r="E129" i="9"/>
  <c r="E109" i="9"/>
  <c r="E89" i="9"/>
  <c r="E69" i="9"/>
  <c r="E29" i="9"/>
  <c r="E49" i="9"/>
  <c r="N6" i="13" l="1"/>
  <c r="N7" i="13"/>
  <c r="N8" i="13"/>
  <c r="N9" i="13"/>
  <c r="N10" i="13"/>
  <c r="N11" i="13"/>
  <c r="N12" i="13"/>
  <c r="N13" i="13"/>
  <c r="P13" i="13" s="1"/>
  <c r="N14" i="13"/>
  <c r="N15" i="13"/>
  <c r="N16" i="13"/>
  <c r="N17" i="13"/>
  <c r="P17" i="13" s="1"/>
  <c r="N18" i="13"/>
  <c r="N19" i="13"/>
  <c r="N20" i="13"/>
  <c r="N21" i="13"/>
  <c r="P21" i="13" s="1"/>
  <c r="N22" i="13"/>
  <c r="N23" i="13"/>
  <c r="N24" i="13"/>
  <c r="N25" i="13"/>
  <c r="P25" i="13" s="1"/>
  <c r="N26" i="13"/>
  <c r="N27" i="13"/>
  <c r="N28" i="13"/>
  <c r="N29" i="13"/>
  <c r="P29" i="13" s="1"/>
  <c r="N30" i="13"/>
  <c r="N31" i="13"/>
  <c r="N32" i="13"/>
  <c r="N33" i="13"/>
  <c r="P33" i="13" s="1"/>
  <c r="N34" i="13"/>
  <c r="N35" i="13"/>
  <c r="N36" i="13"/>
  <c r="N37" i="13"/>
  <c r="P37" i="13" s="1"/>
  <c r="N38" i="13"/>
  <c r="N39" i="13"/>
  <c r="N40" i="13"/>
  <c r="N41" i="13"/>
  <c r="P41" i="13" s="1"/>
  <c r="N42" i="13"/>
  <c r="N43" i="13"/>
  <c r="N44" i="13"/>
  <c r="N45" i="13"/>
  <c r="P45" i="13" s="1"/>
  <c r="N46" i="13"/>
  <c r="N47" i="13"/>
  <c r="N48" i="13"/>
  <c r="N49" i="13"/>
  <c r="P49" i="13" s="1"/>
  <c r="N50" i="13"/>
  <c r="N51" i="13"/>
  <c r="N52" i="13"/>
  <c r="N53" i="13"/>
  <c r="P53" i="13" s="1"/>
  <c r="N54" i="13"/>
  <c r="N55" i="13"/>
  <c r="N56" i="13"/>
  <c r="N57" i="13"/>
  <c r="P57" i="13" s="1"/>
  <c r="N58" i="13"/>
  <c r="N59" i="13"/>
  <c r="N60" i="13"/>
  <c r="N61" i="13"/>
  <c r="P61" i="13" s="1"/>
  <c r="N62" i="13"/>
  <c r="N63" i="13"/>
  <c r="N64" i="13"/>
  <c r="N65" i="13"/>
  <c r="P65" i="13" s="1"/>
  <c r="N66" i="13"/>
  <c r="N67" i="13"/>
  <c r="N68" i="13"/>
  <c r="N69" i="13"/>
  <c r="P69" i="13" s="1"/>
  <c r="N70" i="13"/>
  <c r="N71" i="13"/>
  <c r="N72" i="13"/>
  <c r="N73" i="13"/>
  <c r="P73" i="13" s="1"/>
  <c r="N74" i="13"/>
  <c r="N75" i="13"/>
  <c r="N76" i="13"/>
  <c r="N77" i="13"/>
  <c r="P77" i="13" s="1"/>
  <c r="N78" i="13"/>
  <c r="N79" i="13"/>
  <c r="N80" i="13"/>
  <c r="N81" i="13"/>
  <c r="P81" i="13" s="1"/>
  <c r="N82" i="13"/>
  <c r="N83" i="13"/>
  <c r="N84" i="13"/>
  <c r="N85" i="13"/>
  <c r="P85" i="13" s="1"/>
  <c r="N86" i="13"/>
  <c r="N87" i="13"/>
  <c r="N88" i="13"/>
  <c r="N89" i="13"/>
  <c r="P89" i="13" s="1"/>
  <c r="N90" i="13"/>
  <c r="N91" i="13"/>
  <c r="N92" i="13"/>
  <c r="N93" i="13"/>
  <c r="P93" i="13" s="1"/>
  <c r="N94" i="13"/>
  <c r="N95" i="13"/>
  <c r="N96" i="13"/>
  <c r="N97" i="13"/>
  <c r="P97" i="13" s="1"/>
  <c r="N98" i="13"/>
  <c r="N99" i="13"/>
  <c r="N100" i="13"/>
  <c r="N101" i="13"/>
  <c r="P101" i="13" s="1"/>
  <c r="N102" i="13"/>
  <c r="N103" i="13"/>
  <c r="N104" i="13"/>
  <c r="N105" i="13"/>
  <c r="P105" i="13" s="1"/>
  <c r="N106" i="13"/>
  <c r="N107" i="13"/>
  <c r="N108" i="13"/>
  <c r="N109" i="13"/>
  <c r="P109" i="13" s="1"/>
  <c r="N110" i="13"/>
  <c r="N111" i="13"/>
  <c r="N112" i="13"/>
  <c r="N113" i="13"/>
  <c r="P113" i="13" s="1"/>
  <c r="N114" i="13"/>
  <c r="N115" i="13"/>
  <c r="N116" i="13"/>
  <c r="N117" i="13"/>
  <c r="P117" i="13" s="1"/>
  <c r="N118" i="13"/>
  <c r="N119" i="13"/>
  <c r="N120" i="13"/>
  <c r="N121" i="13"/>
  <c r="P121" i="13" s="1"/>
  <c r="N122" i="13"/>
  <c r="N123" i="13"/>
  <c r="N124" i="13"/>
  <c r="N125" i="13"/>
  <c r="P125" i="13" s="1"/>
  <c r="N126" i="13"/>
  <c r="N127" i="13"/>
  <c r="N128" i="13"/>
  <c r="N129" i="13"/>
  <c r="P129" i="13" s="1"/>
  <c r="N130" i="13"/>
  <c r="N131" i="13"/>
  <c r="N132" i="13"/>
  <c r="N133" i="13"/>
  <c r="P133" i="13" s="1"/>
  <c r="N134" i="13"/>
  <c r="N135" i="13"/>
  <c r="N136" i="13"/>
  <c r="N137" i="13"/>
  <c r="P137" i="13" s="1"/>
  <c r="N138" i="13"/>
  <c r="N139" i="13"/>
  <c r="N140" i="13"/>
  <c r="N141" i="13"/>
  <c r="P141" i="13" s="1"/>
  <c r="N142" i="13"/>
  <c r="N143" i="13"/>
  <c r="N144" i="13"/>
  <c r="N145" i="13"/>
  <c r="P145" i="13" s="1"/>
  <c r="N146" i="13"/>
  <c r="N147" i="13"/>
  <c r="N148" i="13"/>
  <c r="N149" i="13"/>
  <c r="P149" i="13" s="1"/>
  <c r="N150" i="13"/>
  <c r="N151" i="13"/>
  <c r="N152" i="13"/>
  <c r="N153" i="13"/>
  <c r="P153" i="13" s="1"/>
  <c r="N154" i="13"/>
  <c r="N155" i="13"/>
  <c r="N156" i="13"/>
  <c r="N157" i="13"/>
  <c r="P157" i="13" s="1"/>
  <c r="N158" i="13"/>
  <c r="N159" i="13"/>
  <c r="N160" i="13"/>
  <c r="N161" i="13"/>
  <c r="P161" i="13" s="1"/>
  <c r="N162" i="13"/>
  <c r="N163" i="13"/>
  <c r="N164" i="13"/>
  <c r="N165" i="13"/>
  <c r="P165" i="13" s="1"/>
  <c r="N166" i="13"/>
  <c r="N167" i="13"/>
  <c r="N168" i="13"/>
  <c r="N169" i="13"/>
  <c r="P169" i="13" s="1"/>
  <c r="N170" i="13"/>
  <c r="N171" i="13"/>
  <c r="N172" i="13"/>
  <c r="N173" i="13"/>
  <c r="P173" i="13" s="1"/>
  <c r="N174" i="13"/>
  <c r="N175" i="13"/>
  <c r="N176" i="13"/>
  <c r="N177" i="13"/>
  <c r="P177" i="13" s="1"/>
  <c r="N178" i="13"/>
  <c r="N179" i="13"/>
  <c r="N180" i="13"/>
  <c r="N181" i="13"/>
  <c r="P181" i="13" s="1"/>
  <c r="N182" i="13"/>
  <c r="N183" i="13"/>
  <c r="N184" i="13"/>
  <c r="N185" i="13"/>
  <c r="P185" i="13" s="1"/>
  <c r="N186" i="13"/>
  <c r="N187" i="13"/>
  <c r="N188" i="13"/>
  <c r="N189" i="13"/>
  <c r="P189" i="13" s="1"/>
  <c r="N190" i="13"/>
  <c r="N191" i="13"/>
  <c r="N192" i="13"/>
  <c r="N193" i="13"/>
  <c r="P193" i="13" s="1"/>
  <c r="N194" i="13"/>
  <c r="N195" i="13"/>
  <c r="N196" i="13"/>
  <c r="N197" i="13"/>
  <c r="P197" i="13" s="1"/>
  <c r="N198" i="13"/>
  <c r="N199" i="13"/>
  <c r="N200" i="13"/>
  <c r="N201" i="13"/>
  <c r="P201" i="13" s="1"/>
  <c r="N202" i="13"/>
  <c r="N203" i="13"/>
  <c r="N204" i="13"/>
  <c r="N205" i="13"/>
  <c r="P205" i="13" s="1"/>
  <c r="N206" i="13"/>
  <c r="N207" i="13"/>
  <c r="N208" i="13"/>
  <c r="N209" i="13"/>
  <c r="P209" i="13" s="1"/>
  <c r="N210" i="13"/>
  <c r="N211" i="13"/>
  <c r="N212" i="13"/>
  <c r="N213" i="13"/>
  <c r="P213" i="13" s="1"/>
  <c r="N214" i="13"/>
  <c r="G3" i="12"/>
  <c r="G4" i="12"/>
  <c r="H4" i="12" s="1"/>
  <c r="G5" i="12"/>
  <c r="H5" i="12" s="1"/>
  <c r="G6" i="12"/>
  <c r="H6" i="12" s="1"/>
  <c r="G7" i="12"/>
  <c r="H7" i="12" s="1"/>
  <c r="G8" i="12"/>
  <c r="G9" i="12"/>
  <c r="H9" i="12" s="1"/>
  <c r="G10" i="12"/>
  <c r="G11" i="12"/>
  <c r="H11" i="12" s="1"/>
  <c r="G12" i="12"/>
  <c r="G13" i="12"/>
  <c r="G14" i="12"/>
  <c r="G15" i="12"/>
  <c r="H15" i="12" s="1"/>
  <c r="G16" i="12"/>
  <c r="G17" i="12"/>
  <c r="H17" i="12" s="1"/>
  <c r="G18" i="12"/>
  <c r="G19" i="12"/>
  <c r="H19" i="12" s="1"/>
  <c r="G20" i="12"/>
  <c r="G21" i="12"/>
  <c r="G22" i="12"/>
  <c r="G23" i="12"/>
  <c r="H23" i="12" s="1"/>
  <c r="G24" i="12"/>
  <c r="H24" i="12" s="1"/>
  <c r="G25" i="12"/>
  <c r="H25" i="12" s="1"/>
  <c r="G26" i="12"/>
  <c r="G27" i="12"/>
  <c r="H27" i="12" s="1"/>
  <c r="G28" i="12"/>
  <c r="H28" i="12" s="1"/>
  <c r="G29" i="12"/>
  <c r="H29" i="12" s="1"/>
  <c r="G30" i="12"/>
  <c r="H30" i="12" s="1"/>
  <c r="G31" i="12"/>
  <c r="H31" i="12" s="1"/>
  <c r="G32" i="12"/>
  <c r="G33" i="12"/>
  <c r="H33" i="12" s="1"/>
  <c r="G34" i="12"/>
  <c r="H34" i="12" s="1"/>
  <c r="G35" i="12"/>
  <c r="H35" i="12" s="1"/>
  <c r="G36" i="12"/>
  <c r="H36" i="12" s="1"/>
  <c r="G37" i="12"/>
  <c r="H37" i="12" s="1"/>
  <c r="G38" i="12"/>
  <c r="G39" i="12"/>
  <c r="H39" i="12" s="1"/>
  <c r="G40" i="12"/>
  <c r="H40" i="12" s="1"/>
  <c r="G41" i="12"/>
  <c r="H41" i="12" s="1"/>
  <c r="G42" i="12"/>
  <c r="H42" i="12" s="1"/>
  <c r="G43" i="12"/>
  <c r="H43" i="12" s="1"/>
  <c r="H32" i="12" l="1"/>
  <c r="H16" i="12"/>
  <c r="H8" i="12"/>
  <c r="H38" i="12"/>
  <c r="H22" i="12"/>
  <c r="H14" i="12"/>
  <c r="H21" i="12"/>
  <c r="H13" i="12"/>
  <c r="H20" i="12"/>
  <c r="H12" i="12"/>
  <c r="H3" i="12"/>
  <c r="H26" i="12"/>
  <c r="H10" i="12"/>
  <c r="P9" i="13"/>
  <c r="F15" i="13" s="1"/>
  <c r="F40" i="12"/>
  <c r="J40" i="12"/>
  <c r="J43" i="12"/>
  <c r="F43" i="12"/>
  <c r="J19" i="12"/>
  <c r="F19" i="12"/>
  <c r="J11" i="12"/>
  <c r="F11" i="12"/>
  <c r="J3" i="12"/>
  <c r="F3" i="12"/>
  <c r="J42" i="12"/>
  <c r="F42" i="12"/>
  <c r="J34" i="12"/>
  <c r="F34" i="12"/>
  <c r="J26" i="12"/>
  <c r="F26" i="12"/>
  <c r="J18" i="12"/>
  <c r="F18" i="12"/>
  <c r="J10" i="12"/>
  <c r="F10" i="12"/>
  <c r="J41" i="12"/>
  <c r="F41" i="12"/>
  <c r="J33" i="12"/>
  <c r="F33" i="12"/>
  <c r="J25" i="12"/>
  <c r="F25" i="12"/>
  <c r="J17" i="12"/>
  <c r="F17" i="12"/>
  <c r="J9" i="12"/>
  <c r="F9" i="12"/>
  <c r="F32" i="12"/>
  <c r="J32" i="12"/>
  <c r="F8" i="12"/>
  <c r="J8" i="12"/>
  <c r="F24" i="12"/>
  <c r="J24" i="12"/>
  <c r="F39" i="12"/>
  <c r="J39" i="12"/>
  <c r="F23" i="12"/>
  <c r="J23" i="12"/>
  <c r="F7" i="12"/>
  <c r="J7" i="12"/>
  <c r="F38" i="12"/>
  <c r="J38" i="12"/>
  <c r="F30" i="12"/>
  <c r="J30" i="12"/>
  <c r="F22" i="12"/>
  <c r="J22" i="12"/>
  <c r="F14" i="12"/>
  <c r="J14" i="12"/>
  <c r="F6" i="12"/>
  <c r="J6" i="12"/>
  <c r="F37" i="12"/>
  <c r="J37" i="12"/>
  <c r="F29" i="12"/>
  <c r="J29" i="12"/>
  <c r="F21" i="12"/>
  <c r="J21" i="12"/>
  <c r="F13" i="12"/>
  <c r="J13" i="12"/>
  <c r="F5" i="12"/>
  <c r="J5" i="12"/>
  <c r="F16" i="12"/>
  <c r="J16" i="12"/>
  <c r="J31" i="12"/>
  <c r="F31" i="12"/>
  <c r="F15" i="12"/>
  <c r="J15" i="12"/>
  <c r="J36" i="12"/>
  <c r="F36" i="12"/>
  <c r="J28" i="12"/>
  <c r="F28" i="12"/>
  <c r="J20" i="12"/>
  <c r="F20" i="12"/>
  <c r="J12" i="12"/>
  <c r="F12" i="12"/>
  <c r="J4" i="12"/>
  <c r="F4" i="12"/>
  <c r="J35" i="12"/>
  <c r="F35" i="12"/>
  <c r="J27" i="12"/>
  <c r="F27" i="12"/>
  <c r="K157" i="9"/>
  <c r="A38" i="12"/>
  <c r="A39" i="12"/>
  <c r="A40" i="12"/>
  <c r="A41" i="12"/>
  <c r="A42" i="12"/>
  <c r="A43" i="12"/>
  <c r="B38" i="12"/>
  <c r="B39" i="12"/>
  <c r="B40" i="12"/>
  <c r="B41" i="12"/>
  <c r="B42" i="12"/>
  <c r="B43" i="12"/>
  <c r="C38" i="12"/>
  <c r="C39" i="12"/>
  <c r="C40" i="12"/>
  <c r="C41" i="12"/>
  <c r="C42" i="12"/>
  <c r="C43" i="12"/>
  <c r="D38" i="12"/>
  <c r="D39" i="12"/>
  <c r="D40" i="12"/>
  <c r="D41" i="12"/>
  <c r="D42" i="12"/>
  <c r="D43" i="12"/>
  <c r="E38" i="12"/>
  <c r="E39" i="12"/>
  <c r="E40" i="12"/>
  <c r="E41" i="12"/>
  <c r="E42" i="12"/>
  <c r="E43" i="12"/>
  <c r="K137" i="9"/>
  <c r="A32" i="12"/>
  <c r="A33" i="12"/>
  <c r="A34" i="12"/>
  <c r="A35" i="12"/>
  <c r="A36" i="12"/>
  <c r="A37" i="12"/>
  <c r="B32" i="12"/>
  <c r="B33" i="12"/>
  <c r="B34" i="12"/>
  <c r="B35" i="12"/>
  <c r="B36" i="12"/>
  <c r="B37" i="12"/>
  <c r="C32" i="12"/>
  <c r="C33" i="12"/>
  <c r="C34" i="12"/>
  <c r="C35" i="12"/>
  <c r="C36" i="12"/>
  <c r="C37" i="12"/>
  <c r="D32" i="12"/>
  <c r="D33" i="12"/>
  <c r="D34" i="12"/>
  <c r="D35" i="12"/>
  <c r="D36" i="12"/>
  <c r="D37" i="12"/>
  <c r="E32" i="12"/>
  <c r="E33" i="12"/>
  <c r="E34" i="12"/>
  <c r="E35" i="12"/>
  <c r="E36" i="12"/>
  <c r="E37" i="12"/>
  <c r="K117" i="9"/>
  <c r="A26" i="12"/>
  <c r="A27" i="12"/>
  <c r="A28" i="12"/>
  <c r="A29" i="12"/>
  <c r="A30" i="12"/>
  <c r="A31" i="12"/>
  <c r="B26" i="12"/>
  <c r="B27" i="12"/>
  <c r="B28" i="12"/>
  <c r="B29" i="12"/>
  <c r="B30" i="12"/>
  <c r="B31" i="12"/>
  <c r="C26" i="12"/>
  <c r="C27" i="12"/>
  <c r="C28" i="12"/>
  <c r="C29" i="12"/>
  <c r="C30" i="12"/>
  <c r="C31" i="12"/>
  <c r="D26" i="12"/>
  <c r="D27" i="12"/>
  <c r="D28" i="12"/>
  <c r="D29" i="12"/>
  <c r="D30" i="12"/>
  <c r="D31" i="12"/>
  <c r="E26" i="12"/>
  <c r="E27" i="12"/>
  <c r="E28" i="12"/>
  <c r="E29" i="12"/>
  <c r="E30" i="12"/>
  <c r="E31" i="12"/>
  <c r="K97" i="9"/>
  <c r="A20" i="12"/>
  <c r="A21" i="12"/>
  <c r="A22" i="12"/>
  <c r="A23" i="12"/>
  <c r="A24" i="12"/>
  <c r="A25" i="12"/>
  <c r="B20" i="12"/>
  <c r="B21" i="12"/>
  <c r="B22" i="12"/>
  <c r="B23" i="12"/>
  <c r="B24" i="12"/>
  <c r="B25" i="12"/>
  <c r="C20" i="12"/>
  <c r="C21" i="12"/>
  <c r="C22" i="12"/>
  <c r="C23" i="12"/>
  <c r="C24" i="12"/>
  <c r="C25" i="12"/>
  <c r="D20" i="12"/>
  <c r="D21" i="12"/>
  <c r="D22" i="12"/>
  <c r="D23" i="12"/>
  <c r="D24" i="12"/>
  <c r="D25" i="12"/>
  <c r="E20" i="12"/>
  <c r="E21" i="12"/>
  <c r="E22" i="12"/>
  <c r="E23" i="12"/>
  <c r="E24" i="12"/>
  <c r="E25" i="12"/>
  <c r="K77" i="9"/>
  <c r="A14" i="12"/>
  <c r="A15" i="12"/>
  <c r="A16" i="12"/>
  <c r="A17" i="12"/>
  <c r="A18" i="12"/>
  <c r="A19" i="12"/>
  <c r="B14" i="12"/>
  <c r="B15" i="12"/>
  <c r="B16" i="12"/>
  <c r="B17" i="12"/>
  <c r="B18" i="12"/>
  <c r="B19" i="12"/>
  <c r="C14" i="12"/>
  <c r="C15" i="12"/>
  <c r="C16" i="12"/>
  <c r="C17" i="12"/>
  <c r="C18" i="12"/>
  <c r="C19" i="12"/>
  <c r="D14" i="12"/>
  <c r="D15" i="12"/>
  <c r="D16" i="12"/>
  <c r="D17" i="12"/>
  <c r="D18" i="12"/>
  <c r="D19" i="12"/>
  <c r="E14" i="12"/>
  <c r="E15" i="12"/>
  <c r="E16" i="12"/>
  <c r="E17" i="12"/>
  <c r="E18" i="12"/>
  <c r="E19" i="12"/>
  <c r="A8" i="12"/>
  <c r="A9" i="12"/>
  <c r="A10" i="12"/>
  <c r="A11" i="12"/>
  <c r="A12" i="12"/>
  <c r="A13" i="12"/>
  <c r="B8" i="12"/>
  <c r="B9" i="12"/>
  <c r="B10" i="12"/>
  <c r="B11" i="12"/>
  <c r="B12" i="12"/>
  <c r="B13" i="12"/>
  <c r="C8" i="12"/>
  <c r="C9" i="12"/>
  <c r="C10" i="12"/>
  <c r="C11" i="12"/>
  <c r="C12" i="12"/>
  <c r="C13" i="12"/>
  <c r="D8" i="12"/>
  <c r="D9" i="12"/>
  <c r="D10" i="12"/>
  <c r="D11" i="12"/>
  <c r="D12" i="12"/>
  <c r="D13" i="12"/>
  <c r="E8" i="12"/>
  <c r="E9" i="12"/>
  <c r="E10" i="12"/>
  <c r="E11" i="12"/>
  <c r="E12" i="12"/>
  <c r="E13" i="12"/>
  <c r="G2" i="12" l="1"/>
  <c r="D2" i="12"/>
  <c r="D3" i="12"/>
  <c r="D4" i="12"/>
  <c r="D5" i="12"/>
  <c r="D6" i="12"/>
  <c r="D7" i="12"/>
  <c r="C2" i="12"/>
  <c r="C3" i="12"/>
  <c r="C4" i="12"/>
  <c r="C5" i="12"/>
  <c r="C6" i="12"/>
  <c r="C7" i="12"/>
  <c r="B2" i="12"/>
  <c r="B3" i="12"/>
  <c r="B4" i="12"/>
  <c r="B5" i="12"/>
  <c r="B6" i="12"/>
  <c r="B7" i="12"/>
  <c r="A2" i="12"/>
  <c r="A3" i="12"/>
  <c r="A4" i="12"/>
  <c r="A5" i="12"/>
  <c r="A6" i="12"/>
  <c r="A7" i="12"/>
  <c r="E2" i="12"/>
  <c r="E3" i="12"/>
  <c r="E4" i="12"/>
  <c r="E5" i="12"/>
  <c r="E6" i="12"/>
  <c r="E7" i="12"/>
  <c r="H2" i="12" l="1"/>
  <c r="F2" i="12"/>
  <c r="J2" i="12"/>
  <c r="N12" i="12" l="1"/>
  <c r="N13" i="12"/>
  <c r="N14" i="12"/>
  <c r="N15" i="12"/>
  <c r="N16" i="12"/>
  <c r="N11" i="12"/>
  <c r="N7" i="12"/>
  <c r="N3" i="12"/>
  <c r="N8" i="12"/>
  <c r="N5" i="12"/>
  <c r="N4" i="12"/>
  <c r="N10" i="12"/>
  <c r="N9" i="12"/>
  <c r="N6" i="12"/>
  <c r="N2" i="12"/>
  <c r="C1" i="14"/>
  <c r="C37" i="14" s="1"/>
  <c r="O17" i="9" l="1"/>
  <c r="O15" i="9"/>
  <c r="O13" i="9"/>
  <c r="O11" i="9"/>
  <c r="O9" i="9"/>
  <c r="B31" i="13" l="1"/>
  <c r="C67" i="14" l="1"/>
  <c r="C97" i="14" s="1"/>
  <c r="C127" i="14" s="1"/>
  <c r="H6" i="13" l="1"/>
  <c r="H7" i="13" s="1"/>
  <c r="D20" i="9"/>
  <c r="G34" i="9" l="1"/>
  <c r="J34" i="9"/>
  <c r="H34" i="9"/>
  <c r="I34" i="9"/>
  <c r="K34" i="9"/>
  <c r="H8" i="13"/>
  <c r="D41" i="9"/>
  <c r="G33" i="9"/>
  <c r="I32" i="9"/>
  <c r="G31" i="9"/>
  <c r="H35" i="9"/>
  <c r="E41" i="9" l="1"/>
  <c r="F58" i="9" s="1"/>
  <c r="H9" i="13"/>
  <c r="E43" i="9"/>
  <c r="D61" i="9"/>
  <c r="K36" i="9"/>
  <c r="O36" i="9" s="1"/>
  <c r="I36" i="9"/>
  <c r="H36" i="9"/>
  <c r="J36" i="9"/>
  <c r="G36" i="9"/>
  <c r="K31" i="9"/>
  <c r="H31" i="9"/>
  <c r="K33" i="9"/>
  <c r="H33" i="9"/>
  <c r="I35" i="9"/>
  <c r="J32" i="9"/>
  <c r="G32" i="9"/>
  <c r="I31" i="9"/>
  <c r="I33" i="9"/>
  <c r="J35" i="9"/>
  <c r="K32" i="9"/>
  <c r="G35" i="9"/>
  <c r="H32" i="9"/>
  <c r="J31" i="9"/>
  <c r="J33" i="9"/>
  <c r="K35" i="9"/>
  <c r="O35" i="9" s="1"/>
  <c r="E63" i="9" l="1"/>
  <c r="I3" i="12"/>
  <c r="BH3" i="11" s="1"/>
  <c r="I4" i="12"/>
  <c r="BH4" i="11" s="1"/>
  <c r="I5" i="12"/>
  <c r="BH5" i="11" s="1"/>
  <c r="I6" i="12"/>
  <c r="BH6" i="11" s="1"/>
  <c r="I7" i="12"/>
  <c r="BH7" i="11" s="1"/>
  <c r="I2" i="12"/>
  <c r="O31" i="9" s="1"/>
  <c r="S56" i="9"/>
  <c r="BI7" i="11"/>
  <c r="BI4" i="11"/>
  <c r="BI3" i="11"/>
  <c r="BI6" i="11"/>
  <c r="BI5" i="11"/>
  <c r="BI2" i="11"/>
  <c r="H10" i="13"/>
  <c r="D81" i="9"/>
  <c r="E87" i="9" s="1"/>
  <c r="J52" i="9"/>
  <c r="H52" i="9"/>
  <c r="K52" i="9"/>
  <c r="G52" i="9"/>
  <c r="I52" i="9"/>
  <c r="H54" i="9"/>
  <c r="K54" i="9"/>
  <c r="J54" i="9"/>
  <c r="G54" i="9"/>
  <c r="I54" i="9"/>
  <c r="K51" i="9"/>
  <c r="G51" i="9"/>
  <c r="I51" i="9"/>
  <c r="H51" i="9"/>
  <c r="J51" i="9"/>
  <c r="I53" i="9"/>
  <c r="H53" i="9"/>
  <c r="K53" i="9"/>
  <c r="G53" i="9"/>
  <c r="J53" i="9"/>
  <c r="I56" i="9"/>
  <c r="H56" i="9"/>
  <c r="G56" i="9"/>
  <c r="J56" i="9"/>
  <c r="K56" i="9"/>
  <c r="J55" i="9"/>
  <c r="K55" i="9"/>
  <c r="H55" i="9"/>
  <c r="I55" i="9"/>
  <c r="G55" i="9"/>
  <c r="E61" i="9"/>
  <c r="F78" i="9" s="1"/>
  <c r="AD31" i="9"/>
  <c r="AD32" i="9"/>
  <c r="AD33" i="9"/>
  <c r="BH2" i="11" l="1"/>
  <c r="BJ2" i="11"/>
  <c r="BM2" i="11" s="1"/>
  <c r="D33" i="14" s="1"/>
  <c r="BL2" i="11"/>
  <c r="E31" i="14" s="1"/>
  <c r="O32" i="9"/>
  <c r="O33" i="9"/>
  <c r="D101" i="9"/>
  <c r="E107" i="9" s="1"/>
  <c r="G96" i="9"/>
  <c r="G92" i="9"/>
  <c r="G91" i="9"/>
  <c r="I94" i="9"/>
  <c r="G93" i="9"/>
  <c r="E81" i="9"/>
  <c r="E98" i="9" s="1"/>
  <c r="H11" i="13"/>
  <c r="G73" i="9"/>
  <c r="K73" i="9"/>
  <c r="J73" i="9"/>
  <c r="H73" i="9"/>
  <c r="I73" i="9"/>
  <c r="G72" i="9"/>
  <c r="J72" i="9"/>
  <c r="K72" i="9"/>
  <c r="H72" i="9"/>
  <c r="I72" i="9"/>
  <c r="G74" i="9"/>
  <c r="H74" i="9"/>
  <c r="I74" i="9"/>
  <c r="J74" i="9"/>
  <c r="K74" i="9"/>
  <c r="G71" i="9"/>
  <c r="I71" i="9"/>
  <c r="J71" i="9"/>
  <c r="K71" i="9"/>
  <c r="H71" i="9"/>
  <c r="H76" i="9"/>
  <c r="I76" i="9"/>
  <c r="J76" i="9"/>
  <c r="G76" i="9"/>
  <c r="K76" i="9"/>
  <c r="I75" i="9"/>
  <c r="J75" i="9"/>
  <c r="H75" i="9"/>
  <c r="G75" i="9"/>
  <c r="K75" i="9"/>
  <c r="E20" i="9"/>
  <c r="F38" i="9" s="1"/>
  <c r="G95" i="9" l="1"/>
  <c r="J95" i="9"/>
  <c r="H95" i="9"/>
  <c r="I95" i="9"/>
  <c r="K95" i="9"/>
  <c r="BJ3" i="11"/>
  <c r="BN2" i="11"/>
  <c r="BO2" i="11" s="1"/>
  <c r="D29" i="14" s="1"/>
  <c r="H92" i="9"/>
  <c r="I92" i="9"/>
  <c r="H94" i="9"/>
  <c r="I91" i="9"/>
  <c r="S36" i="9"/>
  <c r="J91" i="9"/>
  <c r="H91" i="9"/>
  <c r="K91" i="9"/>
  <c r="H96" i="9"/>
  <c r="K93" i="9"/>
  <c r="K94" i="9"/>
  <c r="E103" i="9"/>
  <c r="J114" i="9"/>
  <c r="E101" i="9"/>
  <c r="F118" i="9" s="1"/>
  <c r="D121" i="9"/>
  <c r="E127" i="9" s="1"/>
  <c r="G116" i="9"/>
  <c r="I112" i="9"/>
  <c r="K115" i="9"/>
  <c r="J113" i="9"/>
  <c r="K111" i="9"/>
  <c r="J92" i="9"/>
  <c r="K92" i="9"/>
  <c r="I96" i="9"/>
  <c r="J96" i="9"/>
  <c r="K96" i="9"/>
  <c r="I93" i="9"/>
  <c r="J93" i="9"/>
  <c r="H93" i="9"/>
  <c r="J94" i="9"/>
  <c r="G94" i="9"/>
  <c r="I113" i="9"/>
  <c r="F14" i="13"/>
  <c r="BJ4" i="11" l="1"/>
  <c r="J112" i="9"/>
  <c r="H112" i="9"/>
  <c r="G112" i="9"/>
  <c r="K112" i="9"/>
  <c r="E121" i="9"/>
  <c r="F138" i="9" s="1"/>
  <c r="I114" i="9"/>
  <c r="I131" i="9"/>
  <c r="H114" i="9"/>
  <c r="G114" i="9"/>
  <c r="I116" i="9"/>
  <c r="J132" i="9"/>
  <c r="K133" i="9"/>
  <c r="K114" i="9"/>
  <c r="K116" i="9"/>
  <c r="K136" i="9"/>
  <c r="H134" i="9"/>
  <c r="E147" i="9"/>
  <c r="I135" i="9"/>
  <c r="K113" i="9"/>
  <c r="H113" i="9"/>
  <c r="G115" i="9"/>
  <c r="G113" i="9"/>
  <c r="I115" i="9"/>
  <c r="H115" i="9"/>
  <c r="J115" i="9"/>
  <c r="J116" i="9"/>
  <c r="H116" i="9"/>
  <c r="H111" i="9"/>
  <c r="J111" i="9"/>
  <c r="G111" i="9"/>
  <c r="I111" i="9"/>
  <c r="J136" i="9"/>
  <c r="E141" i="9" l="1"/>
  <c r="F158" i="9" s="1"/>
  <c r="I132" i="9"/>
  <c r="G132" i="9"/>
  <c r="BJ5" i="11"/>
  <c r="J133" i="9"/>
  <c r="K131" i="9"/>
  <c r="H135" i="9"/>
  <c r="I133" i="9"/>
  <c r="H131" i="9"/>
  <c r="K134" i="9"/>
  <c r="G133" i="9"/>
  <c r="I134" i="9"/>
  <c r="I154" i="9"/>
  <c r="G151" i="9"/>
  <c r="E167" i="9"/>
  <c r="G135" i="9"/>
  <c r="J134" i="9"/>
  <c r="I153" i="9"/>
  <c r="J135" i="9"/>
  <c r="G134" i="9"/>
  <c r="I156" i="9"/>
  <c r="H133" i="9"/>
  <c r="J131" i="9"/>
  <c r="G131" i="9"/>
  <c r="K135" i="9"/>
  <c r="H152" i="9"/>
  <c r="I136" i="9"/>
  <c r="G136" i="9"/>
  <c r="H136" i="9"/>
  <c r="H132" i="9"/>
  <c r="K132" i="9"/>
  <c r="J154" i="9"/>
  <c r="H154" i="9"/>
  <c r="K154" i="9"/>
  <c r="K153" i="9"/>
  <c r="J155" i="9"/>
  <c r="S156" i="9" l="1"/>
  <c r="K155" i="9"/>
  <c r="H153" i="9"/>
  <c r="G155" i="9"/>
  <c r="H155" i="9"/>
  <c r="G153" i="9"/>
  <c r="G154" i="9"/>
  <c r="BJ7" i="11"/>
  <c r="BJ6" i="11"/>
  <c r="H176" i="9"/>
  <c r="J153" i="9"/>
  <c r="I155" i="9"/>
  <c r="I175" i="9"/>
  <c r="I172" i="9"/>
  <c r="H156" i="9"/>
  <c r="K174" i="9"/>
  <c r="G156" i="9"/>
  <c r="G171" i="9"/>
  <c r="D181" i="9"/>
  <c r="I173" i="9"/>
  <c r="E161" i="9"/>
  <c r="F178" i="9" s="1"/>
  <c r="G152" i="9"/>
  <c r="I152" i="9"/>
  <c r="K156" i="9"/>
  <c r="J156" i="9"/>
  <c r="I151" i="9"/>
  <c r="H151" i="9"/>
  <c r="J151" i="9"/>
  <c r="K151" i="9"/>
  <c r="J152" i="9"/>
  <c r="K152" i="9"/>
  <c r="E187" i="9" l="1"/>
  <c r="E183" i="9"/>
  <c r="G176" i="9"/>
  <c r="K176" i="9"/>
  <c r="J176" i="9"/>
  <c r="I176" i="9"/>
  <c r="K175" i="9"/>
  <c r="G175" i="9"/>
  <c r="J175" i="9"/>
  <c r="H175" i="9"/>
  <c r="J172" i="9"/>
  <c r="K172" i="9"/>
  <c r="G172" i="9"/>
  <c r="H172" i="9"/>
  <c r="G174" i="9"/>
  <c r="H174" i="9"/>
  <c r="H191" i="9"/>
  <c r="J196" i="9"/>
  <c r="D201" i="9"/>
  <c r="J194" i="9"/>
  <c r="G195" i="9"/>
  <c r="E181" i="9"/>
  <c r="F198" i="9" s="1"/>
  <c r="I174" i="9"/>
  <c r="J174" i="9"/>
  <c r="H173" i="9"/>
  <c r="K173" i="9"/>
  <c r="J171" i="9"/>
  <c r="J173" i="9"/>
  <c r="G173" i="9"/>
  <c r="K171" i="9"/>
  <c r="I171" i="9"/>
  <c r="H171" i="9"/>
  <c r="I192" i="9"/>
  <c r="G192" i="9"/>
  <c r="H192" i="9"/>
  <c r="K192" i="9"/>
  <c r="J192" i="9"/>
  <c r="H193" i="9"/>
  <c r="G193" i="9"/>
  <c r="I193" i="9"/>
  <c r="J193" i="9"/>
  <c r="K193" i="9"/>
  <c r="G196" i="9" l="1"/>
  <c r="H194" i="9"/>
  <c r="K196" i="9"/>
  <c r="H196" i="9"/>
  <c r="E203" i="9"/>
  <c r="H195" i="9"/>
  <c r="J195" i="9"/>
  <c r="I196" i="9"/>
  <c r="K195" i="9"/>
  <c r="I195" i="9"/>
  <c r="E201" i="9"/>
  <c r="E207" i="9"/>
  <c r="J191" i="9"/>
  <c r="I194" i="9"/>
  <c r="K194" i="9"/>
  <c r="G194" i="9"/>
  <c r="I191" i="9"/>
  <c r="K191" i="9"/>
  <c r="G191" i="9"/>
  <c r="O34" i="9"/>
  <c r="J211" i="9" l="1"/>
  <c r="I211" i="9"/>
  <c r="G211" i="9"/>
  <c r="H211" i="9"/>
  <c r="K211" i="9"/>
  <c r="G212" i="9" l="1"/>
  <c r="J212" i="9"/>
  <c r="K212" i="9"/>
  <c r="H212" i="9"/>
  <c r="I212" i="9"/>
  <c r="H213" i="9" l="1"/>
  <c r="I213" i="9"/>
  <c r="G213" i="9"/>
  <c r="J213" i="9"/>
  <c r="K213" i="9"/>
  <c r="H214" i="9" l="1"/>
  <c r="J214" i="9"/>
  <c r="K214" i="9"/>
  <c r="G214" i="9"/>
  <c r="I214" i="9"/>
  <c r="J215" i="9" l="1"/>
  <c r="H215" i="9"/>
  <c r="K215" i="9"/>
  <c r="I215" i="9"/>
  <c r="G215" i="9"/>
  <c r="H216" i="9" l="1"/>
  <c r="I216" i="9"/>
  <c r="K216" i="9"/>
  <c r="J216" i="9"/>
  <c r="G216" i="9"/>
  <c r="BI30" i="11" l="1"/>
  <c r="BI21" i="11"/>
  <c r="I26" i="12"/>
  <c r="BI10" i="11"/>
  <c r="I25" i="12"/>
  <c r="BH25" i="11" s="1"/>
  <c r="BI8" i="11"/>
  <c r="BL3" i="11" s="1"/>
  <c r="G31" i="14" s="1"/>
  <c r="I33" i="12"/>
  <c r="I18" i="12"/>
  <c r="I8" i="12"/>
  <c r="I14" i="12"/>
  <c r="BI13" i="11"/>
  <c r="I24" i="12"/>
  <c r="I17" i="12"/>
  <c r="BI17" i="11"/>
  <c r="BI15" i="11"/>
  <c r="I13" i="12"/>
  <c r="BH13" i="11" s="1"/>
  <c r="I29" i="12"/>
  <c r="I10" i="12"/>
  <c r="BI24" i="11"/>
  <c r="BI18" i="11"/>
  <c r="I16" i="12"/>
  <c r="I28" i="12"/>
  <c r="I12" i="12"/>
  <c r="BH12" i="11" s="1"/>
  <c r="I35" i="12"/>
  <c r="I15" i="12"/>
  <c r="BI12" i="11"/>
  <c r="I21" i="12"/>
  <c r="I36" i="12"/>
  <c r="BH36" i="11" s="1"/>
  <c r="I20" i="12"/>
  <c r="BI14" i="11"/>
  <c r="BL4" i="11" s="1"/>
  <c r="I31" i="14" s="1"/>
  <c r="BI26" i="11"/>
  <c r="BL6" i="11" s="1"/>
  <c r="M31" i="14" s="1"/>
  <c r="BI54" i="11"/>
  <c r="I9" i="12"/>
  <c r="I19" i="12"/>
  <c r="BI31" i="11"/>
  <c r="BI20" i="11"/>
  <c r="BL5" i="11" s="1"/>
  <c r="K31" i="14" s="1"/>
  <c r="BI23" i="11"/>
  <c r="I23" i="12"/>
  <c r="I11" i="12"/>
  <c r="BH11" i="11" s="1"/>
  <c r="BI9" i="11"/>
  <c r="BI25" i="11"/>
  <c r="I31" i="12"/>
  <c r="BH31" i="11" s="1"/>
  <c r="BI28" i="11"/>
  <c r="BI11" i="11"/>
  <c r="I30" i="12"/>
  <c r="I52" i="12"/>
  <c r="BI27" i="11"/>
  <c r="I32" i="12"/>
  <c r="BI52" i="11"/>
  <c r="I27" i="12"/>
  <c r="BI22" i="11"/>
  <c r="BI16" i="11"/>
  <c r="I22" i="12"/>
  <c r="BI29" i="11"/>
  <c r="BI55" i="11"/>
  <c r="BI19" i="11"/>
  <c r="I34" i="12"/>
  <c r="BI57" i="11"/>
  <c r="I42" i="12"/>
  <c r="BH42" i="11" s="1"/>
  <c r="I53" i="12"/>
  <c r="BI59" i="11"/>
  <c r="BI53" i="11"/>
  <c r="I43" i="12"/>
  <c r="BH43" i="11" s="1"/>
  <c r="BI61" i="11"/>
  <c r="I46" i="12"/>
  <c r="I40" i="12"/>
  <c r="BH40" i="11" s="1"/>
  <c r="I39" i="12"/>
  <c r="I45" i="12"/>
  <c r="I47" i="12"/>
  <c r="I44" i="12"/>
  <c r="I37" i="12"/>
  <c r="BH37" i="11" s="1"/>
  <c r="I50" i="12"/>
  <c r="I49" i="12"/>
  <c r="BH49" i="11" s="1"/>
  <c r="I55" i="12"/>
  <c r="BH55" i="11" s="1"/>
  <c r="I51" i="12"/>
  <c r="BI56" i="11"/>
  <c r="BI58" i="11"/>
  <c r="BI51" i="11"/>
  <c r="BI50" i="11"/>
  <c r="BL10" i="11" s="1"/>
  <c r="U31" i="14" s="1"/>
  <c r="I38" i="12"/>
  <c r="I54" i="12"/>
  <c r="BH54" i="11" s="1"/>
  <c r="I41" i="12"/>
  <c r="BH41" i="11" s="1"/>
  <c r="I48" i="12"/>
  <c r="BH48" i="11" s="1"/>
  <c r="BI60" i="11"/>
  <c r="BI43" i="11"/>
  <c r="BI42" i="11"/>
  <c r="BI32" i="11"/>
  <c r="BL7" i="11" s="1"/>
  <c r="BI38" i="11"/>
  <c r="BL8" i="11" s="1"/>
  <c r="BI35" i="11"/>
  <c r="BI39" i="11"/>
  <c r="BI41" i="11"/>
  <c r="BI37" i="11"/>
  <c r="BI33" i="11"/>
  <c r="BI34" i="11"/>
  <c r="BI36" i="11"/>
  <c r="BI48" i="11"/>
  <c r="BI45" i="11"/>
  <c r="BI47" i="11"/>
  <c r="BI46" i="11"/>
  <c r="BI44" i="11"/>
  <c r="BL9" i="11" s="1"/>
  <c r="BI49" i="11"/>
  <c r="BI40" i="11"/>
  <c r="I58" i="12"/>
  <c r="BH58" i="11" s="1"/>
  <c r="I60" i="12"/>
  <c r="BH60" i="11" s="1"/>
  <c r="I56" i="12"/>
  <c r="BH56" i="11" s="1"/>
  <c r="I57" i="12"/>
  <c r="BH57" i="11" s="1"/>
  <c r="I61" i="12"/>
  <c r="BH61" i="11" s="1"/>
  <c r="I59" i="12"/>
  <c r="BH59" i="11" s="1"/>
  <c r="BH50" i="11" l="1"/>
  <c r="O191" i="9"/>
  <c r="BH52" i="11"/>
  <c r="O193" i="9"/>
  <c r="BH51" i="11"/>
  <c r="O192" i="9"/>
  <c r="BH53" i="11"/>
  <c r="O194" i="9"/>
  <c r="BH46" i="11"/>
  <c r="O173" i="9"/>
  <c r="BH44" i="11"/>
  <c r="O171" i="9"/>
  <c r="BH47" i="11"/>
  <c r="O174" i="9"/>
  <c r="BH45" i="11"/>
  <c r="O172" i="9"/>
  <c r="BH38" i="11"/>
  <c r="O151" i="9"/>
  <c r="BH39" i="11"/>
  <c r="O152" i="9"/>
  <c r="BH33" i="11"/>
  <c r="O132" i="9"/>
  <c r="BH32" i="11"/>
  <c r="O131" i="9"/>
  <c r="BH35" i="11"/>
  <c r="O134" i="9"/>
  <c r="BH34" i="11"/>
  <c r="O133" i="9"/>
  <c r="BH27" i="11"/>
  <c r="O112" i="9"/>
  <c r="BH28" i="11"/>
  <c r="O113" i="9"/>
  <c r="BH26" i="11"/>
  <c r="O111" i="9"/>
  <c r="BH29" i="11"/>
  <c r="O114" i="9"/>
  <c r="BH30" i="11"/>
  <c r="O115" i="9"/>
  <c r="BH21" i="11"/>
  <c r="O92" i="9"/>
  <c r="BH24" i="11"/>
  <c r="O95" i="9"/>
  <c r="BH20" i="11"/>
  <c r="O91" i="9"/>
  <c r="BH22" i="11"/>
  <c r="O93" i="9"/>
  <c r="BH23" i="11"/>
  <c r="O94" i="9"/>
  <c r="BH16" i="11"/>
  <c r="O73" i="9"/>
  <c r="BH17" i="11"/>
  <c r="O74" i="9"/>
  <c r="BH19" i="11"/>
  <c r="O76" i="9"/>
  <c r="BH15" i="11"/>
  <c r="O72" i="9"/>
  <c r="BH14" i="11"/>
  <c r="O71" i="9"/>
  <c r="BH18" i="11"/>
  <c r="O75" i="9"/>
  <c r="BH9" i="11"/>
  <c r="O52" i="9"/>
  <c r="BH10" i="11"/>
  <c r="O53" i="9"/>
  <c r="BH8" i="11"/>
  <c r="O51" i="9"/>
  <c r="BJ32" i="11"/>
  <c r="BM7" i="11" s="1"/>
  <c r="N33" i="14" s="1"/>
  <c r="BJ26" i="11"/>
  <c r="BM6" i="11" s="1"/>
  <c r="BJ14" i="11"/>
  <c r="BM4" i="11" s="1"/>
  <c r="BJ20" i="11"/>
  <c r="BM5" i="11" s="1"/>
  <c r="BJ8" i="11"/>
  <c r="BM3" i="11" s="1"/>
  <c r="BJ38" i="11"/>
  <c r="BM8" i="11" s="1"/>
  <c r="P33" i="14" s="1"/>
  <c r="BJ44" i="11"/>
  <c r="BM9" i="11" s="1"/>
  <c r="R33" i="14" s="1"/>
  <c r="BJ50" i="11"/>
  <c r="BM10" i="11" s="1"/>
  <c r="S31" i="14"/>
  <c r="Q31" i="14"/>
  <c r="O31" i="14"/>
  <c r="K5" i="9" l="1"/>
  <c r="J33" i="14"/>
  <c r="BN5" i="11"/>
  <c r="BO5" i="11" s="1"/>
  <c r="J29" i="14" s="1"/>
  <c r="BJ51" i="11"/>
  <c r="BJ21" i="11"/>
  <c r="H33" i="14"/>
  <c r="BN4" i="11"/>
  <c r="BO4" i="11" s="1"/>
  <c r="H29" i="14" s="1"/>
  <c r="BJ45" i="11"/>
  <c r="BJ15" i="11"/>
  <c r="L33" i="14"/>
  <c r="BN6" i="11"/>
  <c r="BO6" i="11" s="1"/>
  <c r="L29" i="14" s="1"/>
  <c r="BJ39" i="11"/>
  <c r="BJ27" i="11"/>
  <c r="T33" i="14"/>
  <c r="BN10" i="11"/>
  <c r="BO10" i="11" s="1"/>
  <c r="T29" i="14" s="1"/>
  <c r="BN7" i="11"/>
  <c r="BO7" i="11" s="1"/>
  <c r="N29" i="14" s="1"/>
  <c r="BN8" i="11"/>
  <c r="BO8" i="11" s="1"/>
  <c r="P29" i="14" s="1"/>
  <c r="BN9" i="11"/>
  <c r="BO9" i="11" s="1"/>
  <c r="R29" i="14" s="1"/>
  <c r="F33" i="14"/>
  <c r="BN3" i="11"/>
  <c r="BO3" i="11" s="1"/>
  <c r="F29" i="14" s="1"/>
  <c r="BJ9" i="11"/>
  <c r="BJ33" i="11"/>
  <c r="BJ40" i="11" l="1"/>
  <c r="BJ22" i="11"/>
  <c r="BJ34" i="11"/>
  <c r="BJ10" i="11"/>
  <c r="BJ16" i="11"/>
  <c r="BJ52" i="11"/>
  <c r="BJ46" i="11"/>
  <c r="BJ28" i="11"/>
  <c r="BJ17" i="11" l="1"/>
  <c r="BJ29" i="11"/>
  <c r="BJ35" i="11"/>
  <c r="BJ11" i="11"/>
  <c r="BJ53" i="11"/>
  <c r="BJ23" i="11"/>
  <c r="BJ47" i="11"/>
  <c r="BJ41" i="11"/>
  <c r="BJ43" i="11" l="1"/>
  <c r="BJ42" i="11"/>
  <c r="BJ12" i="11"/>
  <c r="BJ13" i="11"/>
  <c r="BJ48" i="11"/>
  <c r="BJ49" i="11"/>
  <c r="BJ37" i="11"/>
  <c r="BJ36" i="11"/>
  <c r="BJ25" i="11"/>
  <c r="BJ24" i="11"/>
  <c r="BJ31" i="11"/>
  <c r="BJ30" i="11"/>
  <c r="BJ55" i="11"/>
  <c r="BJ54" i="11"/>
  <c r="BJ19" i="11"/>
  <c r="BJ18" i="11"/>
</calcChain>
</file>

<file path=xl/sharedStrings.xml><?xml version="1.0" encoding="utf-8"?>
<sst xmlns="http://schemas.openxmlformats.org/spreadsheetml/2006/main" count="1409" uniqueCount="481">
  <si>
    <t>Dato:</t>
  </si>
  <si>
    <t>Mail:</t>
  </si>
  <si>
    <t>Navn:</t>
  </si>
  <si>
    <t>Spørgeramme</t>
  </si>
  <si>
    <t>Ad-hoc</t>
  </si>
  <si>
    <t>Gentaget</t>
  </si>
  <si>
    <t>Procesunderstøttet</t>
  </si>
  <si>
    <t>Styret og målbar</t>
  </si>
  <si>
    <t xml:space="preserve">med indbyrdes relationer. Nogle af disse standarder opstiller krav, mens andre er </t>
  </si>
  <si>
    <t xml:space="preserve">vejledende i forhold til forskellige aspekter af implementering af et ledelsessystem </t>
  </si>
  <si>
    <t>for informationssikkerhed.</t>
  </si>
  <si>
    <t xml:space="preserve">For at sikre at de enkelte myndigheder rapporterer på deres implementering af </t>
  </si>
  <si>
    <t xml:space="preserve">som kan generere ledelsesinformation med resultater på hhv. lokalt niveau </t>
  </si>
  <si>
    <t xml:space="preserve">Digitaliseringsstyrelsen til periodiske opfølgninger på arbejdet med ISO 27001 i </t>
  </si>
  <si>
    <t>Optimeret</t>
  </si>
  <si>
    <t>Overordnet vejledning</t>
  </si>
  <si>
    <t>Ønsket niveau</t>
  </si>
  <si>
    <t>Styrelsen for Arbejdsmarked og Rekruttering</t>
  </si>
  <si>
    <t>Arbejdstilsynet</t>
  </si>
  <si>
    <t>Det Nationale Forskningscenter for Arbejdsmiljø</t>
  </si>
  <si>
    <t>Socialstyrelsen</t>
  </si>
  <si>
    <t>GEUS - De Nationale Geologiske undersøgelser for Danmark og Grønland</t>
  </si>
  <si>
    <t>Danmarks Meteorologiske Institut</t>
  </si>
  <si>
    <t>Geodatastyrelsen</t>
  </si>
  <si>
    <t>Energistyrelsen</t>
  </si>
  <si>
    <t>Erhvervsstyrelsen</t>
  </si>
  <si>
    <t>Finanstilsynet</t>
  </si>
  <si>
    <t>Søfartsstyrelsen</t>
  </si>
  <si>
    <t>Nævnenes Hus</t>
  </si>
  <si>
    <t>Patent- og Varemærkestyrelsen</t>
  </si>
  <si>
    <t>Sikkerhedsstyrelsen</t>
  </si>
  <si>
    <t>Konkurrence- og Forbrugerstyrelsen</t>
  </si>
  <si>
    <t>Digitaliseringsstyrelsen</t>
  </si>
  <si>
    <t>Statens Administration</t>
  </si>
  <si>
    <t>Statens it</t>
  </si>
  <si>
    <t>Hjemmeværnskommando</t>
  </si>
  <si>
    <t>Beredskabsstyrelsen</t>
  </si>
  <si>
    <t>Forsvarets Efterretningstjeneste</t>
  </si>
  <si>
    <t>Forsvarsministeriets Materiel- og Indkøbsstyrelse</t>
  </si>
  <si>
    <t>Forsvarsministeriets Personalestyrelse</t>
  </si>
  <si>
    <t>Forsvarsministeriets Ejendomsstyrelse</t>
  </si>
  <si>
    <t>Forsvarsministeriets Regnskabsstyrelse</t>
  </si>
  <si>
    <t>Rigspolitiet</t>
  </si>
  <si>
    <t>Civilstyrelsen</t>
  </si>
  <si>
    <t>Kriminalforsorgen</t>
  </si>
  <si>
    <t>Datatilsynet</t>
  </si>
  <si>
    <t>Den Uafhængige Politiklagemyndighed</t>
  </si>
  <si>
    <t>Domstolsstyrelsen</t>
  </si>
  <si>
    <t>Kulturministeriets departement</t>
  </si>
  <si>
    <t>Slots- og Kulturstyrelsen</t>
  </si>
  <si>
    <t>Fødevarestyrelsen</t>
  </si>
  <si>
    <t>Landbrugsstyrelsen </t>
  </si>
  <si>
    <t>Naturstyrelsen</t>
  </si>
  <si>
    <t>Spillemyndigheden</t>
  </si>
  <si>
    <t>Sundhedsstyrelsen</t>
  </si>
  <si>
    <t>Lægemiddelstyrelsen</t>
  </si>
  <si>
    <t>Styrelsen for Patientsikkerhed</t>
  </si>
  <si>
    <t>Sundhedsdatastyrelsen</t>
  </si>
  <si>
    <t>Banedanmark</t>
  </si>
  <si>
    <t>Bygningsstyrelsen</t>
  </si>
  <si>
    <t>Havarikommissionen</t>
  </si>
  <si>
    <t>Vejdirektoratet</t>
  </si>
  <si>
    <t>Udlændingestyrelsen</t>
  </si>
  <si>
    <t>Styrelsen for International Rekruttering og Integration (SIRI)</t>
  </si>
  <si>
    <t>Styrelsen for Undervisning og Kvalitet</t>
  </si>
  <si>
    <t>Ankestyrelsen</t>
  </si>
  <si>
    <t>Danmarks Statistik</t>
  </si>
  <si>
    <t>Ministerium</t>
  </si>
  <si>
    <t>Erhvervsministeriet</t>
  </si>
  <si>
    <t>Finansministeriet</t>
  </si>
  <si>
    <t>Justitsministeriet</t>
  </si>
  <si>
    <t>Kulturministeriet</t>
  </si>
  <si>
    <t>Skatteministeriet</t>
  </si>
  <si>
    <t>Udenrigsministeriet</t>
  </si>
  <si>
    <t>Navn</t>
  </si>
  <si>
    <t>Dato</t>
  </si>
  <si>
    <t>a</t>
  </si>
  <si>
    <t>b</t>
  </si>
  <si>
    <t>c</t>
  </si>
  <si>
    <t>Stamdata</t>
  </si>
  <si>
    <t xml:space="preserve">0. </t>
  </si>
  <si>
    <t>Titel/Tema</t>
  </si>
  <si>
    <t>Spm</t>
  </si>
  <si>
    <t>Svarnr.</t>
  </si>
  <si>
    <t>Område</t>
  </si>
  <si>
    <t>d</t>
  </si>
  <si>
    <t>e</t>
  </si>
  <si>
    <t>f</t>
  </si>
  <si>
    <t>Bokstav</t>
  </si>
  <si>
    <t>Nummer</t>
  </si>
  <si>
    <t>Modenhedsgrad</t>
  </si>
  <si>
    <t>Spørgsmål</t>
  </si>
  <si>
    <t>Mail</t>
  </si>
  <si>
    <t>Færdiggørelsesgrad:</t>
  </si>
  <si>
    <t>Forklarende tekst/påstand</t>
  </si>
  <si>
    <t>Svaralternativ/forklarende tekst</t>
  </si>
  <si>
    <t>Vejledning for ændringer i spørgerammen:</t>
  </si>
  <si>
    <t>Opsætning af spørgerammen</t>
  </si>
  <si>
    <t>Kontrol for komplet udfyldt dataramme:</t>
  </si>
  <si>
    <t>Unik liste</t>
  </si>
  <si>
    <t>Aktuelt Niveau</t>
  </si>
  <si>
    <t>1.</t>
  </si>
  <si>
    <t>2.</t>
  </si>
  <si>
    <t>Udfyldt titel, forklarende tekst, spm. og ønsket niveau</t>
  </si>
  <si>
    <t>Komplet udfyldte svaralternativer</t>
  </si>
  <si>
    <t xml:space="preserve">1. </t>
  </si>
  <si>
    <t>Opret nyt spørgeområde</t>
  </si>
  <si>
    <t xml:space="preserve">  andet sted skal der tilpasses manuelt ved at flytte rundt i teksterne i de to tabeller til højre.</t>
  </si>
  <si>
    <t>Slet spørgeområde</t>
  </si>
  <si>
    <t>Spørgeområde</t>
  </si>
  <si>
    <t>Aktuelt niveau - kvalitetsstyringsprincip</t>
  </si>
  <si>
    <t>Overordnet ønsket niveau</t>
  </si>
  <si>
    <t>Introduktion og formål</t>
  </si>
  <si>
    <t>Fanebladet (dette) beskriver, hvordan spørgeskemaet udfyldes.</t>
  </si>
  <si>
    <t>Fanebladet indeholder alle spørgsmål til brug for udfyldelsen af spørgeskemaet.</t>
  </si>
  <si>
    <t>Vejledning til udfyldelse af spørgeskema</t>
  </si>
  <si>
    <r>
      <t xml:space="preserve">Ledelsesforankring:
</t>
    </r>
    <r>
      <rPr>
        <sz val="12"/>
        <color theme="1"/>
        <rFont val="Garamond"/>
        <family val="1"/>
      </rPr>
      <t>• Sikrer strategisk uddelegering af ansvar
• Understøtter forandringsprocesser</t>
    </r>
  </si>
  <si>
    <r>
      <t xml:space="preserve">Kommunikation:
</t>
    </r>
    <r>
      <rPr>
        <sz val="12"/>
        <color theme="1"/>
        <rFont val="Garamond"/>
        <family val="1"/>
      </rPr>
      <t>• Udbreder kendskab til politikker, målsætninger mv
• Målretter informationen til relevante medarbejdere</t>
    </r>
  </si>
  <si>
    <r>
      <t xml:space="preserve">Roller og ansvar:
</t>
    </r>
    <r>
      <rPr>
        <sz val="12"/>
        <color theme="1"/>
        <rFont val="Garamond"/>
        <family val="1"/>
      </rPr>
      <t>• Sikrer medarbejdernes kendskab til, hvem der løser hvilke opgaver
• Giver mulighed for opfølgning på medarbejdernes ansvar</t>
    </r>
  </si>
  <si>
    <r>
      <t xml:space="preserve">Risikobaseret:
</t>
    </r>
    <r>
      <rPr>
        <sz val="12"/>
        <color theme="1"/>
        <rFont val="Garamond"/>
        <family val="1"/>
      </rPr>
      <t>• Sætter fokus på væsentlige indsatsområder
• Understøtter grundlaget for  ledelsens prioritering</t>
    </r>
  </si>
  <si>
    <r>
      <t xml:space="preserve">Dokumentation:
</t>
    </r>
    <r>
      <rPr>
        <sz val="12"/>
        <color theme="1"/>
        <rFont val="Garamond"/>
        <family val="1"/>
      </rPr>
      <t>• Sikrer tilgængelighed af styrende dokumenter
• Understøtter ledelsesrapportering</t>
    </r>
  </si>
  <si>
    <r>
      <t xml:space="preserve">Evaluering og forbedring:
</t>
    </r>
    <r>
      <rPr>
        <sz val="12"/>
        <color theme="1"/>
        <rFont val="Garamond"/>
        <family val="1"/>
      </rPr>
      <t>• Sikrer effektivitet i opgavevaretagelsen
• Understøtter erfaringsopsamling og videndeling</t>
    </r>
  </si>
  <si>
    <t>Egenvurdering af implementering</t>
  </si>
  <si>
    <t>Ikke relevant</t>
  </si>
  <si>
    <t>Leverandørstyring</t>
  </si>
  <si>
    <t>Hjælpekolonne</t>
  </si>
  <si>
    <t>Myndighed</t>
  </si>
  <si>
    <t>Nummer2</t>
  </si>
  <si>
    <t>Toldstyrelsen</t>
  </si>
  <si>
    <t>Gældsstyrelsen</t>
  </si>
  <si>
    <t>Vurderingsstyrelsen</t>
  </si>
  <si>
    <t>Det Nationale Forsknings og Analysecenter for Velfærd (VIVE)</t>
  </si>
  <si>
    <t>De Økonomiske Råd (DØRS)</t>
  </si>
  <si>
    <t>Forsyningstilsynet</t>
  </si>
  <si>
    <t>Dansk Sprognævn</t>
  </si>
  <si>
    <t>Den Danske Filmskole</t>
  </si>
  <si>
    <t>Den Danske Scenekunstskole</t>
  </si>
  <si>
    <t>Den Hirschsprungske Samling</t>
  </si>
  <si>
    <t>Det Danske Filminstitut</t>
  </si>
  <si>
    <t>Det Kongelige Teater</t>
  </si>
  <si>
    <t>Nationalmuseet</t>
  </si>
  <si>
    <t>Ordrupgaard</t>
  </si>
  <si>
    <t>Rytmisk Musikkonservatorium</t>
  </si>
  <si>
    <t>Statens Museum for Kunst</t>
  </si>
  <si>
    <t>Syddansk Musikkonservatorium</t>
  </si>
  <si>
    <t>Klimarådet</t>
  </si>
  <si>
    <t>Forsvarsministeriets Auditørkorps</t>
  </si>
  <si>
    <t>Det Grønne Museum</t>
  </si>
  <si>
    <t>Rigsarkivet</t>
  </si>
  <si>
    <t>Det Jyske Musikkonservatorie</t>
  </si>
  <si>
    <t>Det Kgl. Bibliotek</t>
  </si>
  <si>
    <t>Det Kgl. Danske Kunstakedemi Billedkunstskolerne</t>
  </si>
  <si>
    <t>NOTA</t>
  </si>
  <si>
    <t xml:space="preserve">Skatteankestyrelsen </t>
  </si>
  <si>
    <t xml:space="preserve">Kommissarius ved Statens Ekspropriationer i Jylland </t>
  </si>
  <si>
    <t>Kommissarius ved Statens Ekspropriationer på Øerne</t>
  </si>
  <si>
    <t>Trafik-, Bygge- og Boligstyrelsen</t>
  </si>
  <si>
    <t>Fiskeristyrelsen</t>
  </si>
  <si>
    <t xml:space="preserve">Skattestyrelsen </t>
  </si>
  <si>
    <t xml:space="preserve">Motorstyrelsen </t>
  </si>
  <si>
    <t xml:space="preserve">Udviklings- og Forenklingsstyrelsen </t>
  </si>
  <si>
    <t xml:space="preserve">Administrations- og Servicestyrelsen </t>
  </si>
  <si>
    <t>Statens Serum Institut</t>
  </si>
  <si>
    <t>Statsministeriet</t>
  </si>
  <si>
    <t>Fanebladet indeholder en opsummering af besvarelsen og kan anvendes til myndighedens interne ledelsesrapportering.</t>
  </si>
  <si>
    <t>Vælg dit svar til højre for matricen</t>
  </si>
  <si>
    <t>Tekster</t>
  </si>
  <si>
    <t>Vælg dit svar</t>
  </si>
  <si>
    <t>Vurdering</t>
  </si>
  <si>
    <t>Ikke angivet</t>
  </si>
  <si>
    <t>Arket skal låses op inden grønne felter kan opdateres (--&gt; Review --&gt; Unprotect sheet).</t>
  </si>
  <si>
    <t>Herefter skjules irrelevante rækker med overskydende spørgeområder igen.</t>
  </si>
  <si>
    <t xml:space="preserve">  i Opsummering ved at vise rækker som ovenfor. Her vises 2 grafer ad gangen.</t>
  </si>
  <si>
    <t>Skal der ændres i kvalitetsstyringsprincipper skal der gøres manuelt ved at ændre i grafer og formler.</t>
  </si>
  <si>
    <t>Formål med undersøgelsen</t>
  </si>
  <si>
    <t>Husk at skjule den nederste række under hvert spørgeområde (under sidste "svarboks").</t>
  </si>
  <si>
    <t>Udfyldelse af spørgeskemaet</t>
  </si>
  <si>
    <t>Klima-, Energi- og Forsyningsministeriet</t>
  </si>
  <si>
    <t>Det Centrale Personregister</t>
  </si>
  <si>
    <t>Forsvarsministeriet</t>
  </si>
  <si>
    <t>Uddannelses- og Forskningsministeriet</t>
  </si>
  <si>
    <t>Udlændinge- og Integrationsministeriet</t>
  </si>
  <si>
    <t>Beskæftigelsesministeriet</t>
  </si>
  <si>
    <t>Kolonne1</t>
  </si>
  <si>
    <t>Det Kongelige Danske Musikkonservatorium</t>
  </si>
  <si>
    <t>Børne- og Undervisningsministeriet</t>
  </si>
  <si>
    <t>Styrelsen for It og Læring</t>
  </si>
  <si>
    <t xml:space="preserve">sikkerhedsstandarden ISO 27001. ISO 27000-serien består af en række standarder </t>
  </si>
  <si>
    <t xml:space="preserve">(myndighed, fx den enkelte styrelse), koncernniveau (ministerområde) og samlet </t>
  </si>
  <si>
    <t xml:space="preserve">kontrollerne i sikkerhedsstandarden ISO 27001, er der udviklet en modenhedsmåling </t>
  </si>
  <si>
    <t>Medarbejder- og Kompetencestyrelsen</t>
  </si>
  <si>
    <t>Danmarks Evalueringsinstitut</t>
  </si>
  <si>
    <t>Dansk Center for Undervisningsmiljø</t>
  </si>
  <si>
    <t>Familieretshuset</t>
  </si>
  <si>
    <t>Økonomistyrelsen</t>
  </si>
  <si>
    <t>1. Organisationens kontekst</t>
  </si>
  <si>
    <t>3. Planlægning</t>
  </si>
  <si>
    <t>4. Support</t>
  </si>
  <si>
    <t>5. Drift</t>
  </si>
  <si>
    <t>6. Evaluering</t>
  </si>
  <si>
    <t>7. Løbende forbedringer</t>
  </si>
  <si>
    <t>8. Leverandørstyring</t>
  </si>
  <si>
    <t>9. Beredskabsplaner</t>
  </si>
  <si>
    <t>Organisationens kontekst</t>
  </si>
  <si>
    <t>Hvordan vurderer du organisationens modenhed i forhold til nedenstående udsagn?</t>
  </si>
  <si>
    <t>Nedenstående hjælpetekst er inspiration til besvarelse af spørgsmål til organisationens modenhed</t>
  </si>
  <si>
    <t>1.a1</t>
  </si>
  <si>
    <t>Ledelsesforankring - Ad-hoc - Ledelsessystem for informationssikkerhed</t>
  </si>
  <si>
    <t xml:space="preserve">Indsæt evt. bemærkninger som begrundelser for vurderingen. </t>
  </si>
  <si>
    <t>Lederskab</t>
  </si>
  <si>
    <t>Planlægning</t>
  </si>
  <si>
    <t>Support</t>
  </si>
  <si>
    <t>Evaluering</t>
  </si>
  <si>
    <t>Løbende forbedringer</t>
  </si>
  <si>
    <t>N/A</t>
  </si>
  <si>
    <t>Ad hoc</t>
  </si>
  <si>
    <t>Kontekst (4.1)</t>
  </si>
  <si>
    <t>Behov og forventninger (4.2)</t>
  </si>
  <si>
    <t>Omfang (4.3)</t>
  </si>
  <si>
    <t>Ledelsessystem (4.4)</t>
  </si>
  <si>
    <t>Lederskab og engagement (5.1)</t>
  </si>
  <si>
    <t>Politik (5.2)</t>
  </si>
  <si>
    <t>Roller og ansvar (5.3)</t>
  </si>
  <si>
    <t>ISO-kapitler</t>
  </si>
  <si>
    <t>1.a</t>
  </si>
  <si>
    <t>1.b</t>
  </si>
  <si>
    <t>1.c</t>
  </si>
  <si>
    <t>1.d</t>
  </si>
  <si>
    <t>1.e</t>
  </si>
  <si>
    <t>1.f</t>
  </si>
  <si>
    <t>2.a</t>
  </si>
  <si>
    <t>2.b</t>
  </si>
  <si>
    <t>2.c</t>
  </si>
  <si>
    <t>2.d</t>
  </si>
  <si>
    <t>2.e</t>
  </si>
  <si>
    <t>2.f</t>
  </si>
  <si>
    <t>3.a</t>
  </si>
  <si>
    <t>3.b</t>
  </si>
  <si>
    <t>3.c</t>
  </si>
  <si>
    <t>3.d</t>
  </si>
  <si>
    <t>3.e</t>
  </si>
  <si>
    <t>3.f</t>
  </si>
  <si>
    <t>4.a</t>
  </si>
  <si>
    <t>4.b</t>
  </si>
  <si>
    <t>4.c</t>
  </si>
  <si>
    <t>4.d</t>
  </si>
  <si>
    <t>4.e</t>
  </si>
  <si>
    <t>4.f</t>
  </si>
  <si>
    <t>5.a</t>
  </si>
  <si>
    <t>5.b</t>
  </si>
  <si>
    <t>5.c</t>
  </si>
  <si>
    <t>5.d</t>
  </si>
  <si>
    <t>5.e</t>
  </si>
  <si>
    <t>5.f</t>
  </si>
  <si>
    <t>6.a</t>
  </si>
  <si>
    <t>6.b</t>
  </si>
  <si>
    <t>6.c</t>
  </si>
  <si>
    <t>6.d</t>
  </si>
  <si>
    <t>6.e</t>
  </si>
  <si>
    <t>6.f</t>
  </si>
  <si>
    <t>7.a</t>
  </si>
  <si>
    <t>7.b</t>
  </si>
  <si>
    <t>7.c</t>
  </si>
  <si>
    <t>7.d</t>
  </si>
  <si>
    <t>7.e</t>
  </si>
  <si>
    <t>7.f</t>
  </si>
  <si>
    <t>8.a</t>
  </si>
  <si>
    <t>8.b</t>
  </si>
  <si>
    <t>8.c</t>
  </si>
  <si>
    <t>8.d</t>
  </si>
  <si>
    <t>8.e</t>
  </si>
  <si>
    <t>8.f</t>
  </si>
  <si>
    <t>9.a</t>
  </si>
  <si>
    <t>9.b</t>
  </si>
  <si>
    <t>9.c</t>
  </si>
  <si>
    <t>9.d</t>
  </si>
  <si>
    <t>9.e</t>
  </si>
  <si>
    <t>9.f</t>
  </si>
  <si>
    <t>10.a</t>
  </si>
  <si>
    <t>10.b</t>
  </si>
  <si>
    <t>10.c</t>
  </si>
  <si>
    <t>10.d</t>
  </si>
  <si>
    <t>10.e</t>
  </si>
  <si>
    <t>10.f</t>
  </si>
  <si>
    <t>Kolonne2</t>
  </si>
  <si>
    <t>Handlinger (6.1.2)</t>
  </si>
  <si>
    <t>Handlinger (6.1.3)</t>
  </si>
  <si>
    <t>Handlinger (6.1.4)</t>
  </si>
  <si>
    <t>Målsætninger (6.2.2)</t>
  </si>
  <si>
    <t>Ressourcer (7.1)</t>
  </si>
  <si>
    <t>Kompetencer (7.2)</t>
  </si>
  <si>
    <t>Bevidsthed (7.3)</t>
  </si>
  <si>
    <t>Kommunikation (7.4)</t>
  </si>
  <si>
    <t>Dokumentation (7.5)</t>
  </si>
  <si>
    <t>Planlægning og styring (8.1.1)</t>
  </si>
  <si>
    <t>Planlægning og styring (8.1.2)</t>
  </si>
  <si>
    <t>Planlægning og styring (8.1.3)</t>
  </si>
  <si>
    <t>Vurdering af risici (8.2)</t>
  </si>
  <si>
    <t>Håndtering af risici (8.3)</t>
  </si>
  <si>
    <t>Overvågning, måling og evaluering (9.1)</t>
  </si>
  <si>
    <t>Audits (9.2.1)</t>
  </si>
  <si>
    <t>Audits (9.2.2)</t>
  </si>
  <si>
    <t>Ledelsens gennemgang (9.3)</t>
  </si>
  <si>
    <t>Løbende forbedringer (10.2)</t>
  </si>
  <si>
    <t>Afvigelser og korrigerende handlinger (10.1)</t>
  </si>
  <si>
    <t>Plan for håndtering (A.15.1.1 og A.15.1.2)</t>
  </si>
  <si>
    <t>Evaluering (A.15.2.1 og A.15.2.2)</t>
  </si>
  <si>
    <t>Tilsyn (A.15.2.1 og A.15.2.2)</t>
  </si>
  <si>
    <t>Møder (A.15.2.1 og A.15.2.2)</t>
  </si>
  <si>
    <t>Håndtering af hændelser (A.17.1.2)</t>
  </si>
  <si>
    <t>Beredskabsplaner (A.17.1.2)</t>
  </si>
  <si>
    <t>Afprøvning og evaluering (A.17.1.3)</t>
  </si>
  <si>
    <t xml:space="preserve">Drift </t>
  </si>
  <si>
    <t>Aktuelt niveau</t>
  </si>
  <si>
    <t>Egenvurdering</t>
  </si>
  <si>
    <t>Nedenstående hjælpetekst er inspiration til besvarelse af spørgsmål til organisationens modenhed:</t>
  </si>
  <si>
    <t>For at understøtte driften af ISMS’et og sikre relevans af opgaverne med informationssikkerhed, skal driften styres. Organisationens modenhed kan eksempelvis vurderes ud fra følgende elementer:   
• Der eksisterer eksempelvis et ledelsesgodkendt årshjul eller plan for processer og opgaver, der understøtter organisationens ISMS. Gennemførelsen af planen dokumenteres, eksempelvis gennem en status eller afrapportering på en plan. 
• Organisationens plan og aktiviteter genbesøges, således at der tages højde for evt. ændringer, eksempelvis ift. ressourcer, lovkrav, erfaringer fra hændelser, ændringer i leverandørforhold mm.
• Der foreligger en plan for risikovurderinger, således at organisationen sikrer, at vurderingerne finder sted med faste mellemrum og i henhold til organisationens metode.
• Der arbejdes aktivt med håndtering af risici, eksempelvis ved at ledelsen aktivt og løbende gennemgår fremdriften i organisationens risikohåndteringsplan(er).
Hent mere vejledning under ”Årshjul og planlægning” og "Risikostyring" på sikkerdigital.dk.</t>
  </si>
  <si>
    <t>I forlængelse af evalueringen bør prioriterede forbedringer implementeres. Organisationens modenhed kan eksempelvis vurderes ud fra følgende elementer:
• Topledelsen forholder sig til identificerede forbedringer af ISMS’et, som er identificeret under ”Evaluering”. 
• Der følges op på forbedringstiltagene, eksempelvis ved jævnlig afrapportering på ledelsesmøder. 
Hent mere vejledning under ”Evaluering og forbedring” på sikkerdigital.dk.</t>
  </si>
  <si>
    <t xml:space="preserve">Beredskabsstyring handler om at sikre forretnings- og informationssikkerhedskontinuiteten i tilfælde af en krise eller en katastrofe. Spørgeområdet vedrører i særdeleshed planer for håndteringen af en krise, der medvirker til tab af fortrolighed, integritet og tilgængelighed ved kritiske forretningsprocesser og systemer. Organisationens modenhed kan eksempelvis vurderes ud fra følgende elementer:
• Der er etableret en beredskabsplan/krisestyringsplan, som også kan håndtere en krise, der påvirker organisationens informationssikkerhed negativt. 
• Der er taget stilling til behovet for reetableringsplaner og test heraf for relevante it-systemer. 
• Der er fastlagt roller og ansvar i relation til opgaver og aktiviteter beskrevet i beredskabsplanen. 
• Planen er udbredt til alle relevante interessenter og er fysisk tilgængelig for medarbejdere.
• Planen afprøves med fast interval, f.eks. årligt eller ved større ændringer i trusselsbilledet. Der evalueres på afprøvningen og evt. forbedringstiltag implementeres.
Hent mere vejledning under ”Beredskab” på sikkerdigital.dk/myndighed.
</t>
  </si>
  <si>
    <t>(ISO 27001 A. 15.)</t>
  </si>
  <si>
    <r>
      <t xml:space="preserve">Plan for håndtering af informationssikkerhed (A.15.1.1/A.15.1.2)
</t>
    </r>
    <r>
      <rPr>
        <sz val="12"/>
        <color theme="1"/>
        <rFont val="Garamond"/>
        <family val="1"/>
      </rPr>
      <t xml:space="preserve">• Det indgår i organisationens leverandørstyring, at der stilles de nødvendige informationssikkerhedskrav til leverandører og samarbejdspartnere ved indgåelse af kontrakter og/eller aftaler om outsourcede opgaver, herunder ved udbud, udvikling og drift gennem fx et sikkerhedsbilag, der indgår som en fast del af kontrakter i organisationen. </t>
    </r>
  </si>
  <si>
    <r>
      <t xml:space="preserve">Sikkerhedsmøder med leverandører (A.15.2.1/A.15.2.2)
</t>
    </r>
    <r>
      <rPr>
        <sz val="12"/>
        <color theme="1"/>
        <rFont val="Garamond"/>
        <family val="1"/>
      </rPr>
      <t xml:space="preserve">• Informationssikkerhed indgår som fast punkt på dagsordenen for relevante møder med leverandører ifm. outsourcede opgave. </t>
    </r>
  </si>
  <si>
    <r>
      <t xml:space="preserve">IT-beredskabsplaner (A.17.1.2)
</t>
    </r>
    <r>
      <rPr>
        <sz val="12"/>
        <color theme="1"/>
        <rFont val="Garamond"/>
        <family val="1"/>
      </rPr>
      <t xml:space="preserve">• Organisationen har planer for kritiske processer, funktioner og systemer, herunder mål for reetablering af it-driften i beredskabssituationer. </t>
    </r>
  </si>
  <si>
    <t>Reetableringstest (A.17.1.3)</t>
  </si>
  <si>
    <t>Transportministeriet</t>
  </si>
  <si>
    <t>Indenrigs- og Sundhedsministeriet</t>
  </si>
  <si>
    <t>Digitaliserings- og Ligestillingsministeriet</t>
  </si>
  <si>
    <t>Digitaliserings- og Ligestillingsministeriets departement</t>
  </si>
  <si>
    <t>Færdselsstyrelsen</t>
  </si>
  <si>
    <t>Transportministeriets departement</t>
  </si>
  <si>
    <t>Økonomiministeriet</t>
  </si>
  <si>
    <t>Økonomiministeriets departement</t>
  </si>
  <si>
    <t>Ministeriet for Kirke, Landdistrikter og Nordisk samarbejde</t>
  </si>
  <si>
    <t>Indenrigs- og Sundhedsministeriets departement</t>
  </si>
  <si>
    <t>Fællessekretariat for Det Etiske Råd</t>
  </si>
  <si>
    <t>Social-, Bolig- og Ældreministeriet</t>
  </si>
  <si>
    <t>Styrelsen for Dataforsyning og Infrastruktur</t>
  </si>
  <si>
    <t>Den centrale anklagemyndighed</t>
  </si>
  <si>
    <t>Styrelsen for Forsyningssikkerhed</t>
  </si>
  <si>
    <t>Ministeriet for Fødevarer, Landbrug og Fiskeri</t>
  </si>
  <si>
    <t>Ministeriet for Udviklingssamarbejde og Global klimapolitik</t>
  </si>
  <si>
    <t>MUGK - departementet</t>
  </si>
  <si>
    <t>Uddannelses- og Forskningsstyrelsen</t>
  </si>
  <si>
    <t>Uddannelses- og Forskningsministeriets departement</t>
  </si>
  <si>
    <t>Udlændinge- og Integrationsministeriets departement</t>
  </si>
  <si>
    <t>Hjemrejsestyrelsen</t>
  </si>
  <si>
    <t>Miljøministeriet</t>
  </si>
  <si>
    <t>Miljøstyrelsen</t>
  </si>
  <si>
    <t>Miljøministeriets departement</t>
  </si>
  <si>
    <t>Skatteministeriets departement</t>
  </si>
  <si>
    <t>Børne- og Undervisningsministeriets departement</t>
  </si>
  <si>
    <t>Udenrigsministeriets departement</t>
  </si>
  <si>
    <t>MFLF departementet</t>
  </si>
  <si>
    <t>MKLN departementet</t>
  </si>
  <si>
    <t>Justitsministeriets departement</t>
  </si>
  <si>
    <t>Forsvarsministeriets departement</t>
  </si>
  <si>
    <t>Finansministeriets departement</t>
  </si>
  <si>
    <t>Erhvervsministeriets departement</t>
  </si>
  <si>
    <t>KEFM departement</t>
  </si>
  <si>
    <t>Social-, Bolig- og Ældreministeriets departement</t>
  </si>
  <si>
    <t>Bolig- og Planstyrelsen</t>
  </si>
  <si>
    <t>Beskæftigelsesministeriets departement</t>
  </si>
  <si>
    <r>
      <t>Myndighed (</t>
    </r>
    <r>
      <rPr>
        <b/>
        <i/>
        <sz val="12"/>
        <rFont val="Garamond"/>
        <family val="1"/>
      </rPr>
      <t>vælg fra listen</t>
    </r>
    <r>
      <rPr>
        <b/>
        <sz val="12"/>
        <rFont val="Garamond"/>
        <family val="1"/>
      </rPr>
      <t>):</t>
    </r>
  </si>
  <si>
    <r>
      <t>Ministerium (</t>
    </r>
    <r>
      <rPr>
        <b/>
        <i/>
        <sz val="12"/>
        <rFont val="Garamond"/>
        <family val="1"/>
      </rPr>
      <t>vælg fra listen</t>
    </r>
    <r>
      <rPr>
        <b/>
        <sz val="12"/>
        <rFont val="Garamond"/>
        <family val="1"/>
      </rPr>
      <t>):</t>
    </r>
  </si>
  <si>
    <t>Beredskabsplaner</t>
  </si>
  <si>
    <t>Spørgeområder</t>
  </si>
  <si>
    <t xml:space="preserve">(ISO27001 kapitel 4) </t>
  </si>
  <si>
    <t>(ISO27001 kapitel 5)</t>
  </si>
  <si>
    <t>(ISO27001 kapitel 6)</t>
  </si>
  <si>
    <t>(ISO27001 kapitel 7)</t>
  </si>
  <si>
    <t>(ISO27001 kapitel 8)</t>
  </si>
  <si>
    <t>(ISO27001 kapitel 9)</t>
  </si>
  <si>
    <t>(ISO27001 kapitel 10)</t>
  </si>
  <si>
    <t>(ISO27001 A. 17)</t>
  </si>
  <si>
    <r>
      <t xml:space="preserve">Evaluering, opfølgning og forbedring af informationssikkerhed (A.15.2.1/A.15.2.2)
</t>
    </r>
    <r>
      <rPr>
        <sz val="12"/>
        <color theme="1"/>
        <rFont val="Garamond"/>
        <family val="1"/>
      </rPr>
      <t xml:space="preserve">• Organisationen sikrer, under hensyntagen til indgåede aftaler, regelmæssig evaluering, opfølgning og forbedring af informationssikkerheden ifm. outsourcede it-opgaver. </t>
    </r>
  </si>
  <si>
    <r>
      <t xml:space="preserve">Tilsyn med informationssikkerhed (A.15.2.1/A.15.2.2)
</t>
    </r>
    <r>
      <rPr>
        <sz val="12"/>
        <color theme="1"/>
        <rFont val="Garamond"/>
        <family val="1"/>
      </rPr>
      <t xml:space="preserve">• Organisationen udfører, under hensyntagen til opgavernes kritikalitet, tilsyn med, herunder auditering af informationssikkerheden ifm. outsourcede it-opgaver, fx i form af regelmæssige sikkerhedstilsyn, audits og indhentning af relevante revisionserklæringer. </t>
    </r>
  </si>
  <si>
    <t xml:space="preserve">Det har siden 2016 været obligatorisk for statslige myndigheder at følge </t>
  </si>
  <si>
    <t xml:space="preserve">for alle deltagende myndigheder. Modenhedsmålingen anvendes af </t>
  </si>
  <si>
    <t xml:space="preserve">staten. Dette skal bidrage til den samlede indsats med at styrke ledelsesforankringen </t>
  </si>
  <si>
    <t>af arbejdet med cyber- og informationssikkerhed i statslige myndigheder.</t>
  </si>
  <si>
    <r>
      <rPr>
        <b/>
        <sz val="12"/>
        <rFont val="Garamond"/>
        <family val="1"/>
      </rPr>
      <t>1 Forside</t>
    </r>
    <r>
      <rPr>
        <sz val="12"/>
        <rFont val="Garamond"/>
        <family val="1"/>
      </rPr>
      <t>:</t>
    </r>
  </si>
  <si>
    <t xml:space="preserve">2 Vejledning: </t>
  </si>
  <si>
    <t>3 Spørgeramme:</t>
  </si>
  <si>
    <t>4 Opsummering:</t>
  </si>
  <si>
    <t>Modenhedsniveaer</t>
  </si>
  <si>
    <t>Formålet med spørgeskemaet er at foretage en måling af implementeringen af informationssikkerhedsstandarden ISO 27001 i statslige myndigheder. Det samlede spørgeskema består af i alt 4 faneblade:</t>
  </si>
  <si>
    <t>Implementeringen måles ved at evaluere myndigheden inden for ni forskellige områder af ISO27001-standarden. De ni spørgeområder er primært udarbejdet pba. kapitel 4-9 og anneks A i ISO 27001 og omfatter:</t>
  </si>
  <si>
    <r>
      <t xml:space="preserve">Niveau 3 - Procesunderstøttet: </t>
    </r>
    <r>
      <rPr>
        <sz val="12"/>
        <color theme="1"/>
        <rFont val="Garamond"/>
        <family val="1"/>
      </rPr>
      <t>Der eksisterer et formelt ledelsessystem for informationssikkerhed, herunder organisering, politikker samt processer, der umiddelbart opnår den ønskede effekt. Processerne er dokumenteret og relevante medarbejdere kender til deres roller og ansvar. Gennem fastlagte planer kendes det ønskede ressourceforbrug og kompetenceniveau. Der gennemføres risikovurderinger og fokuseres på udvalgte områder med størst risiko. Ledelsen indgår i ISMS’et, hovedsageligt gennem orienteringer og godkendelser af produkter. Opfølgning, evaluering og evt. korregering sker som del af de enkelte processer, dog uden en systematisk tilgang.</t>
    </r>
  </si>
  <si>
    <t>Bemærkninger (valgfri)</t>
  </si>
  <si>
    <t xml:space="preserve">Indsæt evt. interne bemærkninger som begrundelser for vurderingen. </t>
  </si>
  <si>
    <t>Ønsket</t>
  </si>
  <si>
    <t>Ønsket modenhedsniveau</t>
  </si>
  <si>
    <r>
      <t xml:space="preserve">Ledelsessystem for informationssikkerhed (ISO-kapitel 4.4)
• </t>
    </r>
    <r>
      <rPr>
        <sz val="12"/>
        <color theme="1"/>
        <rFont val="Garamond"/>
        <family val="1"/>
      </rPr>
      <t xml:space="preserve">Organisationen etablerer, implementerer, vedligeholder og forbedrer løbende sit ledelsessystem for informationssikkerhed i overensstemmelse med kravene i ISO 27001. </t>
    </r>
  </si>
  <si>
    <r>
      <t xml:space="preserve">Politik (ISO-kapitel 5.2)
</t>
    </r>
    <r>
      <rPr>
        <sz val="12"/>
        <color theme="1"/>
        <rFont val="Garamond"/>
        <family val="1"/>
      </rPr>
      <t>• Der er udarbejdet og fastlagt en informationssikkerhedspolitik, der er godkendt af topledelsen. Politikken passer til organisationens formål, beskriver målsætninger for informationssikkerhed og indeholder en forpligtigelse til både at opfylde relevante sikkerhedskrav og løbende forbedre ISMS'et. 
• Informationssikkerhedspolitikken er tilgængelig internt og for relevante interessenter.</t>
    </r>
  </si>
  <si>
    <r>
      <t xml:space="preserve">Roller og ansvar (ISO-kapitel 5.3)
</t>
    </r>
    <r>
      <rPr>
        <sz val="12"/>
        <color theme="1"/>
        <rFont val="Garamond"/>
        <family val="1"/>
      </rPr>
      <t xml:space="preserve">• Roller og ansvar ift. informationssikkerhed er beskrevet, delegeret og kommunikeret til de relevante parter og er godkendt af topledelsen. </t>
    </r>
  </si>
  <si>
    <t>ISO-kapitler:</t>
  </si>
  <si>
    <t>condition</t>
  </si>
  <si>
    <t>traficlight</t>
  </si>
  <si>
    <t>l</t>
  </si>
  <si>
    <r>
      <t xml:space="preserve">Løbende forbedringer (ISO-kapitel 10.2)
</t>
    </r>
    <r>
      <rPr>
        <sz val="12"/>
        <color theme="1"/>
        <rFont val="Garamond"/>
        <family val="1"/>
      </rPr>
      <t xml:space="preserve">• Organisationen forbedrer løbende ISMS'et. Dette understøtter, at ISMS'et er egnet, tilstrækkeligt og effektivt. </t>
    </r>
  </si>
  <si>
    <r>
      <t xml:space="preserve">Ledelsens gennemgang (ISO-kapitel 9.3)
</t>
    </r>
    <r>
      <rPr>
        <sz val="12"/>
        <color theme="1"/>
        <rFont val="Garamond"/>
        <family val="1"/>
      </rPr>
      <t xml:space="preserve">• Topledelsen gennemgår organisationens ISMS med planlagt mellemrum. Dette sker med henblik på at sikre systemets fortsatte egnethed, tilstrækkelighed og effektivitet. 
• Gennemgangen omfatter: 
a) Status for handlingsplaner pba. tidligere ledelsesgennemgange. 
b) Ændringer i eksterne og interne forhold der er relevante for ISMS. 
c) Gennemgang af afvigelser og korrigerende handlinger, overvågning og måling, auditresultater og opfyldelse af målsætninger for informationssikkerhed.
d) Tilbagemeldinger fra interessenter.
e) Resultater af risikovurderinger og status for risikohåndteringsplaner. 
f) Muligheder for løbende forbedring.
• Orgnisationen dokumenterer resultaterne af ledelsens gennemgang. </t>
    </r>
  </si>
  <si>
    <r>
      <t xml:space="preserve">Overvågning, måling, analyse og evaluering 
(ISO-kapitel 9.1)
</t>
    </r>
    <r>
      <rPr>
        <sz val="12"/>
        <color theme="1"/>
        <rFont val="Garamond"/>
        <family val="1"/>
      </rPr>
      <t>• Organisationen overvåger, måler, analyserer og evaluerer ISMS' effektivitet.
• Organisationen dokumenterer resultater af overvågning, måling, analyse og evaluering.</t>
    </r>
  </si>
  <si>
    <r>
      <t xml:space="preserve">Håndtering af informationssikkerhedsrisici 
(ISO-kapitel 8.3)
</t>
    </r>
    <r>
      <rPr>
        <sz val="12"/>
        <color theme="1"/>
        <rFont val="Garamond"/>
        <family val="1"/>
      </rPr>
      <t xml:space="preserve">• Organisationen implementerer risikohåndteringsplaner. 
• Organisationen har dokumentation for resultater af risikohåndteringen. </t>
    </r>
  </si>
  <si>
    <r>
      <t xml:space="preserve">Dokumenteret information (ISO-kapitel 7.5)
</t>
    </r>
    <r>
      <rPr>
        <sz val="12"/>
        <color theme="1"/>
        <rFont val="Garamond"/>
        <family val="1"/>
      </rPr>
      <t xml:space="preserve">• Organisationen udarbejder al den dokumentation, der kræves af standarden og evt. yderligere nødvendig information. Organisationen beskriver hvorledes dokumentation identificeres, dokumentformat og dokumentgodkendelse. 
• Det sikres, at dokumentation er tilgængelig og anvendelig, passende beskyttet og er underlagt ændringsstyring. Dette gælder også for dokumenteret information fra eksterne kilder. </t>
    </r>
  </si>
  <si>
    <r>
      <t xml:space="preserve">Kommunikation (ISO-kapitel 7.4)
</t>
    </r>
    <r>
      <rPr>
        <sz val="12"/>
        <color theme="1"/>
        <rFont val="Garamond"/>
        <family val="1"/>
      </rPr>
      <t xml:space="preserve">• Organisationen fastlægger behovet for intern og ekstern kommunikation omkring informationssikkerhed. Organisationen har en proces, der afklarer, hvad, hvornår og med hvem der kommunikeres med, samt hvem der kommunikerer og hvordan. </t>
    </r>
  </si>
  <si>
    <r>
      <t xml:space="preserve">Bevidsthed (ISO-kapitel 7.3)
</t>
    </r>
    <r>
      <rPr>
        <sz val="12"/>
        <color theme="1"/>
        <rFont val="Garamond"/>
        <family val="1"/>
      </rPr>
      <t xml:space="preserve">• Organisationen understøtter, at personer, som udfører arbejde for organisationen, er bevidste om informationssikkerhedspolitikken, deres forpligtelse til at understøtte informationssikkerheden og evt. konsekvenser ved manglende efterlevelse. </t>
    </r>
  </si>
  <si>
    <r>
      <t xml:space="preserve">Kompetencer (ISO-kapitel 7.2)
</t>
    </r>
    <r>
      <rPr>
        <sz val="12"/>
        <color theme="1"/>
        <rFont val="Garamond"/>
        <family val="1"/>
      </rPr>
      <t xml:space="preserve">• Organisationen fastlægger de nødvendige kompetencer hos de personer, der udfører arbejde under organisationens styring, der påvirker ISMS'et og sikrer, at de ansvarlige hos organisationen har disse kompetencer. Hvis kompetencerne ikke er til stede, planlægger organisationen, hvordan de anskaffes og evaluerer effekten af planen. 
• Organisationen dokumenterer kompetencerne, der er til stede hos de personer, der udfører arbejde under organisationens styring, der påvirker ISMS'et. </t>
    </r>
  </si>
  <si>
    <r>
      <t xml:space="preserve">Ressourcer (ISO-kapitel 7.1)
</t>
    </r>
    <r>
      <rPr>
        <sz val="12"/>
        <color theme="1"/>
        <rFont val="Garamond"/>
        <family val="1"/>
      </rPr>
      <t xml:space="preserve">• Organisationen kortlægger behov for ressourcer til etablering, implementering, vedligeholdelse og løbende forbedring af ISMS. Det sikres i organisationen, at ressourcerne allokeres. </t>
    </r>
  </si>
  <si>
    <r>
      <t xml:space="preserve">Forståelse af interessenternes behov og forventninger 
(ISO-kapitel 4.2)
• </t>
    </r>
    <r>
      <rPr>
        <sz val="12"/>
        <color theme="1"/>
        <rFont val="Garamond"/>
        <family val="1"/>
      </rPr>
      <t xml:space="preserve">Organisationen fastlægger, hvilke interessenter der er relevante for ledelsessystemet for informationssikkerhed. 
• Organisationen fastlægger disse interssenters krav, som er relevante for informationssikkerhed, herunder lov- og myndighedskrav samt kontraktmæssige forpligtelser. </t>
    </r>
  </si>
  <si>
    <r>
      <t xml:space="preserve">Forståelse af organisationen og dens kontekst 
(ISO-kapitel 4.1) 
• </t>
    </r>
    <r>
      <rPr>
        <sz val="12"/>
        <color theme="1"/>
        <rFont val="Garamond"/>
        <family val="1"/>
      </rPr>
      <t>Organisationen fastlægger, hvilke eksterne og interne forhold der er relevante for organisationens formål, og som påvirker evnen til at opnå det eller de tilsigtede målsætninger for ledelssystemet for informationssikkerhed.</t>
    </r>
  </si>
  <si>
    <r>
      <t xml:space="preserve">Målsætninger - Opgaveløsning og erfaringsopsamling (ISO-kapitel 6.2.2)
</t>
    </r>
    <r>
      <rPr>
        <sz val="12"/>
        <color theme="1"/>
        <rFont val="Garamond"/>
        <family val="1"/>
      </rPr>
      <t>• Sikrer effektivitet i opgavevaretagelsen
• Understøtter erfaringsopsamling og videndeling</t>
    </r>
  </si>
  <si>
    <t>Det er væsentligt, at myndighederne baserer besvarelsen af modenhedsmålingen ud</t>
  </si>
  <si>
    <t xml:space="preserve">fra en risikobaseret tilgang til informationssikkerhed. Omfanget af hvordan ISO </t>
  </si>
  <si>
    <t>27001-foranstaltningerne implementeres, vil formentlig variere på tværs af myndigheder</t>
  </si>
  <si>
    <t xml:space="preserve">pga. varierende kritikalitet og myndighedernes størrelse. </t>
  </si>
  <si>
    <t>Fanebladet beskriver det overordnede formål med spørgeskemaet.</t>
  </si>
  <si>
    <r>
      <t xml:space="preserve">Niveau 1 - Ad-hoc: </t>
    </r>
    <r>
      <rPr>
        <sz val="12"/>
        <color theme="1"/>
        <rFont val="Garamond"/>
        <family val="1"/>
      </rPr>
      <t xml:space="preserve">Organisationen anerkender behovet for et ledelsessystem for informationssikkerhed (ISMS), men der eksisterer ikke et struktureret, centralt setup. Ledelsen orienteres og involveres på uformel vis i sikkerhedsmæssige forhold. Processer og politikker er udokumenterede, og arbejdsopgaver uddelegeres og aktiviteter gennemføres i takt med, at der opstår et synligt behov. Der er ikke et samlet overblik over ressource- eller kompetencebehov. Risikovurderinger sker sporadisk uden en ensartet proces, og resultaterne anvendes ikke i en bredere kontekst. Der er ingen proces for opfølgning eller evaluering, hvorfor læring og erfaringer ikke opsamles.  </t>
    </r>
  </si>
  <si>
    <r>
      <t xml:space="preserve">Niveau 2 - Gentaget: </t>
    </r>
    <r>
      <rPr>
        <sz val="12"/>
        <color theme="1"/>
        <rFont val="Garamond"/>
        <family val="1"/>
      </rPr>
      <t xml:space="preserve">Arbejdet med et formelt ledelsessystem for informationssikkerhed er påbegyndt. Der findes nogle processer og politikker, der er dokumenteret, hvorfor visse aktiviteter gennemføres konsistent. Roller og ansvarsfordeling er beskrevet og på uformel vis delegeret. Ressourceallokering og kompetenceudvikling sker, som behovet bliver synligt. Ledelsen er bekendt med ISMS’et og har godkendt de dokumenterede processer. De orienteres, men bliver ikke inddraget systematisk og aktivt. Der arbejdes med risikovurderinger ud fra en ledelsesgodkendt proces, dog uden at ledelsen indgår i en større sammenhæng. Enkelte processer og indsatser evalueres og forbedres individuelt, men opsamles ikke struktureret.  </t>
    </r>
  </si>
  <si>
    <r>
      <t xml:space="preserve">Niveau 4 - Styret og målbar: </t>
    </r>
    <r>
      <rPr>
        <sz val="12"/>
        <color theme="1"/>
        <rFont val="Garamond"/>
        <family val="1"/>
      </rPr>
      <t xml:space="preserve">Processer der understøtter ledelsessystemet for informationssikkerhed er veletableret og implementeret. Processer og aktiviteter er planlagte, dokumenterede og målbare. Organiseringen af ISMS’et er robust, og roller og ansvar er bredt kendt i organisationen, ligesom ledelsen er aktivt involveret. Omfang og afgrænsning af ISMS’et er fastlagt, ligesom der er afsat ressourcer og rette kompetencer hertil. Den risikobaserede tilgang anvendes som fundament for arbejdet med informationssikkerhed i organisationen. Der følges op på de fleste indsatser og foretages forbedringer og justeringer på baggrund af evalueringer.  </t>
    </r>
  </si>
  <si>
    <r>
      <t xml:space="preserve">Niveau 5 - Optimeret: </t>
    </r>
    <r>
      <rPr>
        <sz val="12"/>
        <color theme="1"/>
        <rFont val="Garamond"/>
        <family val="1"/>
      </rPr>
      <t>Der er etableret robuste processer og organisering af høj kvalitet, der understøtter ledelsessystemet for informationssikkerhed. Processerne er veldokumenterede, og roller og ansvar er klare for alle involverede parter i organisationen med solid opbakning fra ledelsen. Omfanget af ISMS’et er klart afgrænset og målsætninger for informationssikkerheden er fastsat. Den risikobaserede tilgang anvendes bredt i organisationen, således at indsatser prioriteres og fremtidssikres, mens ressourcer og kompetencer tilpasses derefter. Produkter fra processer anvendes aktivt, og der følges op på dem. Der evalueres og testes systematisk på ledelsessystemet, herunder processer, roller, kompetenceudvikling og indsatser med udgangspunkt i egne erfaringer og sparring med andre organisationer. Forbedringer implementeres aktivt i organisationen, således at afvigelser udbedres og risici sænkes til en transparent størrelse, som kan dokumenteres og er accepteret af ledelsen. ISMS’et tilpasses og optimeres dermed kontinuerligt. Alle de værktøjer og dokumenter, der understøtter organisationens arbejde med informationssikkerhed, skal være tilgængelige for alle relevante medarbejdere og ledelse. Dette forudsætter, at der er en fælles tilgang til opbevaring af resultater fra arbejdet.</t>
    </r>
  </si>
  <si>
    <r>
      <t xml:space="preserve">Afprøvning og evaluering (A.17.1.3) 
</t>
    </r>
    <r>
      <rPr>
        <sz val="12"/>
        <color theme="1"/>
        <rFont val="Garamond"/>
        <family val="1"/>
      </rPr>
      <t xml:space="preserve">• Organisationen sikrer, at der med planlagte mellemrum gennemføres intern beredskabstest mhp. at afprøve, evaluere og forbedre interne processer og sikre at alle relevante interessenter kender deres rolle i en beredskabssituation. </t>
    </r>
  </si>
  <si>
    <r>
      <t>For at styre informationssikkerheden og for at sikre, at ledelsen har de rette styringsværktøjer, skal aktiviteterne i ISMS'et planlægges</t>
    </r>
    <r>
      <rPr>
        <sz val="9"/>
        <rFont val="Garamond"/>
        <family val="1"/>
      </rPr>
      <t>. Nogle aktiviteter skal gentages</t>
    </r>
    <r>
      <rPr>
        <sz val="9"/>
        <color theme="1"/>
        <rFont val="Garamond"/>
        <family val="1"/>
      </rPr>
      <t>, mens andre er enkeltstående, eksempelvis ifm. forbedringer. Organisationens modenhed kan eksempelvis vurderes ud fra følgende elementer:
• Aktiviteter, der unde</t>
    </r>
    <r>
      <rPr>
        <sz val="9"/>
        <rFont val="Garamond"/>
        <family val="1"/>
      </rPr>
      <t>rstøtter ISMS’et, planlægges,</t>
    </r>
    <r>
      <rPr>
        <sz val="9"/>
        <color theme="1"/>
        <rFont val="Garamond"/>
        <family val="1"/>
      </rPr>
      <t xml:space="preserve"> eksempelvis gennem aktivitetsoversigter, årsplaner e.l.  
• Der er en klar organisering, procesbeskrivelse og værktøjer, eksempelvis et system eller skabeloner, til at understøtte jeres risikostyring.
• Når organisationen vurderer risici, anvendes der en konsistent metode til at identificere risici, herunder konsekvenser ved, og sandsynlighed for, at givne risici faktisk sker.
• Proces for risikostyring sikrer, at identificerede risici enten accepteres, eller håndteres (mitigeres, undgås eller deles), eksempelvis gennem en ledelsesgodkendt risikohåndteringsplan. Planerne kan tage udgangspunkt i ISO 27001, Anneks A. I tilfælde af at en plan besluttes, følges der op på den.
• SOA dokumentet opdateres årligt med til- og fravalg af foranstaltninger. 
Hent mere vejledning under ”Årshjul og planlægning” og "Risikostyring" på sikkerdigital.dk.
</t>
    </r>
  </si>
  <si>
    <r>
      <t xml:space="preserve">Reetableringstest (A.17.1.3)
</t>
    </r>
    <r>
      <rPr>
        <sz val="12"/>
        <color theme="1"/>
        <rFont val="Garamond"/>
        <family val="1"/>
      </rPr>
      <t xml:space="preserve">• Organisationen skal selv eller i samarbejde med leverandrører sikre, at der med planlagte mellemrum gennemføres tekniske reetableringstest på alle kritiske it-systemer mhp. at afprøve, hvorvidt it-systemerne faktisk kan reetableres efter planen i tilfælde af kritiske hændelser. </t>
    </r>
  </si>
  <si>
    <r>
      <t xml:space="preserve">Lederskab og engagement 
(ISO-kapitel 5.1)
</t>
    </r>
    <r>
      <rPr>
        <sz val="12"/>
        <color theme="1"/>
        <rFont val="Garamond"/>
        <family val="1"/>
      </rPr>
      <t>• Topledelsen er inddraget og engageret i arbejdet ift. etablering, drift og v</t>
    </r>
    <r>
      <rPr>
        <sz val="12"/>
        <rFont val="Garamond"/>
        <family val="1"/>
      </rPr>
      <t xml:space="preserve">edligeholdelse af organisationens ISMS. Dette gøres bl.a. ved at sikre: 
1) at ISMS'et er integreret i den strategiske retning for organisationen og
2) at informationssikkerhedsarbejdet er i overensstemmelse med ISMS'et. </t>
    </r>
    <r>
      <rPr>
        <sz val="12"/>
        <color theme="1"/>
        <rFont val="Garamond"/>
        <family val="1"/>
      </rPr>
      <t xml:space="preserve">
3) at sikkeredskrav er </t>
    </r>
    <r>
      <rPr>
        <sz val="12"/>
        <rFont val="Garamond"/>
        <family val="1"/>
      </rPr>
      <t>integreret i organisationens processer</t>
    </r>
    <r>
      <rPr>
        <sz val="12"/>
        <color theme="1"/>
        <rFont val="Garamond"/>
        <family val="1"/>
      </rPr>
      <t xml:space="preserve">
4) at rammerne for ledelse og støtte til relevante medarbejdere og ledere i sikkerhedsarbejdet er på plads, således at ISMS'et opnår de tilsigtede resultater. </t>
    </r>
  </si>
  <si>
    <t>At arbejde med informationssikkerhed kræver en systematisk tilgang til opgaven. Et af de første skridt er at skabe et forretningsoverblik for dermed at forstå omfanget af ISMS’et. 
Organisationens modenhed kan eksempelvis vurderes ud fra følgende elementer:
• Der eksisterer et klart formål for din organisation, eksempelvis i en politik eller en strategi.
• Organisationens ressourcer, herunder kompetencer, aktiver med betydning for informationssikkerheden, informationstyper og it-systemer er identificeret. Dette eksempelvis med en systemoversigt, en oversigt over hvilke informationer organisationen håndterer eller en kortlægning af forretningskritiske processer.
• Organisationens eksterne forhold og interessenter er identificeret og dokumenteret. Dette kan eksempelvis være gennem overblik over kontraktlige forpligtelser, lovkrav eller internationale aftaler samt parter, som modtager din organisations produkter, samarbejdspartnere, myndigheder og leverandører.
• ISMS’et er afgrænset i relation til om hele ministerområdet/styrelsen/organisationen er omfattet og hvilke aktiver, herunder informationstyper, aktiviteter og systemer, som er omfattet.
• Der eksisterer en organisering, der understøtter arbejdet med informationssikkerhed.
• Der eksisterer et udvalg, der sikrer, at ledelsen kontinuerligt forholder sig til de interne og eksterne forhold og interessenter, også når der sker ændringer.
Hent mere vejledning under "ledelsessystem" på sikkerdigital.dk.</t>
  </si>
  <si>
    <t xml:space="preserve">   (Dato indtastes DD-MM-YYYY (fx. 25-08-2023))</t>
  </si>
  <si>
    <t>g</t>
  </si>
  <si>
    <t>h</t>
  </si>
  <si>
    <t>=IF(D20&lt;&gt;"";D20;LEFT(A19;FIND(".";A19;1))&amp;B20)</t>
  </si>
  <si>
    <t>1.g</t>
  </si>
  <si>
    <t>1.h</t>
  </si>
  <si>
    <t>2.g</t>
  </si>
  <si>
    <t>2.h</t>
  </si>
  <si>
    <t>3.</t>
  </si>
  <si>
    <t>3.g</t>
  </si>
  <si>
    <t>3.h</t>
  </si>
  <si>
    <t>4.</t>
  </si>
  <si>
    <t>4.g</t>
  </si>
  <si>
    <t>4.h</t>
  </si>
  <si>
    <t>5.</t>
  </si>
  <si>
    <t>5.g</t>
  </si>
  <si>
    <t>5.h</t>
  </si>
  <si>
    <t>6.</t>
  </si>
  <si>
    <t>6.g</t>
  </si>
  <si>
    <t>6.h</t>
  </si>
  <si>
    <t>7.</t>
  </si>
  <si>
    <t>7.g</t>
  </si>
  <si>
    <t>7.h</t>
  </si>
  <si>
    <t>8.</t>
  </si>
  <si>
    <t>8.g</t>
  </si>
  <si>
    <t>8.h</t>
  </si>
  <si>
    <t>9.</t>
  </si>
  <si>
    <t>9.g</t>
  </si>
  <si>
    <t>9.h</t>
  </si>
  <si>
    <t>10.</t>
  </si>
  <si>
    <t>10.g</t>
  </si>
  <si>
    <t>10.h</t>
  </si>
  <si>
    <r>
      <t xml:space="preserve">Handlinger - Generelle forudsætninger (ISO-kapitel 6.1.1)
</t>
    </r>
    <r>
      <rPr>
        <sz val="12"/>
        <color theme="1"/>
        <rFont val="Garamond"/>
        <family val="1"/>
      </rPr>
      <t xml:space="preserve">• I organisationens planlægning ift. ISMS tages der højde for forståelse af organisationen og dennes kontekst (ISO-kapitel 4.1) samt interessenternes behov og forventninger (ISO-kapitel 4.2). Orgnisationen vurderer de risici og muligheder, der skal håndteres, at handlingerne integreres og implementeres i ISMS'et, og at det vurderes hvordan den resultatrelaterede effektivitet måles, fastlægges og forbedres. </t>
    </r>
  </si>
  <si>
    <t>Handlinger - Ikke relevant</t>
  </si>
  <si>
    <t>Handlinger - (6.1.1)</t>
  </si>
  <si>
    <t xml:space="preserve">Der er fastlagt en norm om, at statslige myndigheder som udgangspunkt skal befinde sig på modenhedsniveau 4 på alle 9 områder af ISO-standarden. Der kan dog på baggrund af en risikovurdering vælges et lavere eller højere ønsket modenhedsniveau. </t>
  </si>
  <si>
    <r>
      <t xml:space="preserve">Handlinger - Risikovurdering, risikotolerance og risikoniveauer
(ISO-kapitel 6.1.2)
</t>
    </r>
    <r>
      <rPr>
        <sz val="12"/>
        <color theme="1"/>
        <rFont val="Garamond"/>
        <family val="1"/>
      </rPr>
      <t xml:space="preserve">• Organisationen har fastlagt risikotolerance (risikovillighed) samt hvornår, der skal udarbejdes risikovurderinger.
• Organisationens risikovurderinger sikrer,: 
a) At der er konsistens og sammenlignelighed mellem vurderingen af de identificerede risici.  
b) At risici identificeres ift. tab af fortrolighed, integritet og tilgængelighed, samt at identificerede risici forankres ved de relevante risikoejere. 
c) At risici vurderes ud fra en kombination af konsekvens og sandsynlighed ift. identificerede risici, så det er muligt at fastlægge risikoniveauerne. 
d) At risici sammenholdes med organisationens risikotolerance (risikovillighed) og organisationen prioriterer risikohåndtering derefter. 
• Risikovurderingsprocessen er dokumenteret. 
</t>
    </r>
  </si>
  <si>
    <r>
      <t>Spørgeskemaet, der skal udfyldes, findes i fanebladet '3 Spørgeramme'. Spørgeskemaet består af ni overordnede spørgeområder. Modenhedsniveauet af hvert spørgsmål fastlægges på en skala fra ad-hoc til optimeret. 
Modenhedsniveauet for de enkelte spørgsmål vælges i drop-down listen "Vurdering" ud for hvert spørgsmål. Drop-down listen åbnes ved at klikke én gang på "vælg dit svar", hvorefter valgmulighederne vises (se figur 1). I kolonnen længst til højre kan der for hvert spørgsmål angives bemærkninger til intern brug i myndigheden. Digitaliseringsstyrelsen benytter ikke disse bemærkninger i den endelige afrapportering af modenhed (se figur 1). 
Når de bagvedliggende spørgsmål er vurderet, skal myndigheden vurdere sin samlede modenhed for spørgeområdet. Dette gøres nederst for hvert spørgeområde, hvor spørgsmålet "</t>
    </r>
    <r>
      <rPr>
        <i/>
        <sz val="12"/>
        <rFont val="Garamond"/>
        <family val="1"/>
      </rPr>
      <t>Med afsæt i din organisations vurdering af væsentligheden af de forskellige udsagn, hvordan vurderer du samlet set modenheden af spørgeområdet</t>
    </r>
    <r>
      <rPr>
        <sz val="12"/>
        <rFont val="Garamond"/>
        <family val="1"/>
      </rPr>
      <t>?" Det samlede modenhedsniveau for spørgeområdet vælges ved at klikke på det gule felt nederst, hvorefter valgmulighederne vises (se figur 2). 
Der er fastlagt en norm om, at statslige myndigheder som udgangspunkt skal befinde sig på modenhedsniveau 4 på alle ni spørgeområder. Der kan dog på baggrund af en risikovurdering vælges et lavere ønsket modenhedsniveau. Dette kan gøres for hvert spørgeområde på fanebladet '3 spørgeramme'. Som standard er denne værdi sat til 'Styret og målbar' jf. den fastlagte norm (se figur 3). 
Når alle stamdata er udfyldt og spørgeområderne er vurderet, vil færdiggørelsesgraden på fanebladet '3 spørgeramme' vise 100% (se figur 4).</t>
    </r>
  </si>
  <si>
    <r>
      <t xml:space="preserve">Målsætninger - Tilgængelighed og ledelsesrapportering (ISO-kapitel 6.2.a-j)
</t>
    </r>
    <r>
      <rPr>
        <sz val="12"/>
        <color theme="1"/>
        <rFont val="Garamond"/>
        <family val="1"/>
      </rPr>
      <t xml:space="preserve">• Der fastlægges målsætninger for informationssikkerhed som dækker det relevante omfang. Målsætningerne er i overensstemmelse med informationssikkerhedspolitikken, målbare (hvis muligt), tager højde for relevante sikkerhedskrav og resultater af risikovurdering og risikohåndtering
• Målsætningerne er dokumenteret, kommunikeret og opdateret. 
• Der udarbejdes planer for opnåelse af målsætningerne, som beskriver aktiviteter, ressourcer, ansvarlige, deadlines og evaluering. 
</t>
    </r>
  </si>
  <si>
    <r>
      <t xml:space="preserve">[1] Interne audits (ISO-kapitel 9.2)
</t>
    </r>
    <r>
      <rPr>
        <sz val="12"/>
        <color theme="1"/>
        <rFont val="Garamond"/>
        <family val="1"/>
      </rPr>
      <t xml:space="preserve">• Organisationen gennemfører intern auditering med planalgte mellemrum. Formålet er at undersøge, om ISMS'et lever op til organisationens krav til ISMS og er effektivt implementeret og vedligeholdt. </t>
    </r>
  </si>
  <si>
    <r>
      <t xml:space="preserve">[2] Interne audits (ISO-kapitel 9.2)
</t>
    </r>
    <r>
      <rPr>
        <sz val="12"/>
        <color theme="1"/>
        <rFont val="Garamond"/>
        <family val="1"/>
      </rPr>
      <t xml:space="preserve">• I organisationens planlægning af den interne audit sikres det, at auditorerne er uvildige, og, at resultaterne af den interne audit rapporteres til den relevante ledelse, samt at den interne audit dokumenteres. </t>
    </r>
  </si>
  <si>
    <r>
      <t xml:space="preserve">[1] Driftplanlægning og -styring (ISO-kapitel 8.1)
</t>
    </r>
    <r>
      <rPr>
        <sz val="12"/>
        <color theme="1"/>
        <rFont val="Garamond"/>
        <family val="1"/>
      </rPr>
      <t xml:space="preserve">• Organisationen planlægger, implementerer og styrer de processer, der er behov for, for at opfylde informationssikkerhedskravene samt gennemfører risikohåndteringsplaner og planer for opnåelse af målsætninger, som beskrevet i ISO 27001 kapitel 6.1 og 6.2. </t>
    </r>
  </si>
  <si>
    <r>
      <t xml:space="preserve">[3] Driftplanlægning og - styring (ISO-kapitel 8.1)
</t>
    </r>
    <r>
      <rPr>
        <sz val="12"/>
        <color theme="1"/>
        <rFont val="Garamond"/>
        <family val="1"/>
      </rPr>
      <t xml:space="preserve">• Organisationen sikrer, at outsourcede processer fastlægges og styres. </t>
    </r>
  </si>
  <si>
    <r>
      <t xml:space="preserve">Afvigelser og korrigerende handlinger (ISO-kapitel 10.1)
</t>
    </r>
    <r>
      <rPr>
        <sz val="12"/>
        <color theme="1"/>
        <rFont val="Garamond"/>
        <family val="1"/>
      </rPr>
      <t xml:space="preserve">• Organisationen håndterer løbende afvigelser ift. informationssikkerhed. 
• Organisationen sikrer, at afvigelser bliver dokumenteret, vurderet samt korrigeret, hvor det er relevant. </t>
    </r>
  </si>
  <si>
    <t>Ledelsesforankring og en formel organisering er en grundlæggende forudsætning for al sikkerhedsarbejde. Organisationens modenhed kan eksempelvis vurderes ud fra følgende elementer: 
• Organiseringen af sikkerhedsarbejdet er formelt beskrevet, og der er en tydelig rolle og ansvarsfordeling i relation til opgaver og processer, som har betydning for informationssikkerheden. 
• Alle involverede parter kender til rolle- og ansvarsfordelingen.
• Der eksisterer en klar ledelsesorganisering omkring informationssikkerheden i organisationen. Topledelsens rolle er ligeledes klar.
• Ledelsen engagerer sig systematisk i informationssikkerhed, eksempelvis gennem regelmæssige møder og faste processer.
• Der eksisterer en ledelsesgodkendt informationssikkerhedspolitik. Politikken opdateres regelmæssigt og udbredes til de rette interessenter. Organisationen ved, hvor politikken kan findes.
• Der er aktivt fastlagt et niveau for sikkerhed i din organisation, herunder det accepterede risikoniveau.
Hent mere vejledning om lederskab i ISMS under "ledelsessystem" på sikkerdigital.dk.</t>
  </si>
  <si>
    <r>
      <t xml:space="preserve">Handlinger - Udvælgelse og godkendelse af sikkerhedsforanstaltninger (ISO-kapitel 6.1.3.a-f)
</t>
    </r>
    <r>
      <rPr>
        <sz val="12"/>
        <color theme="1"/>
        <rFont val="Garamond"/>
        <family val="1"/>
      </rPr>
      <t>• Organisationens risikohåndtering før det muligt at: 
a) Vælge de passende risikohåndteringsmuligheder.
b) Fastlægge passende sikkerhedsforanstaltninger i ledelsesgodkendte risikohåndteringsplaner for ikke accepterede risici (dvs. de risici der indebærer en højere risiko end risikotolerance tillader). 
c) Sammenholde og supplere disse sikkerhedsforanstaltninger med dem, der er angivet i Anneks A for at sikre at ingen nødvendige foranstaltninger er udeladt. 
d) Organisationens SoA-dokument opdateres, så det indeholder de valgte foranstaltninger og en begrundelse for, hvorfor de er tilvalgt (resterende) Anneks A foranstaltninger er fravalgt. 
e) Udarbrejde risikohåndteringsplan(er) med nedfældet foranstaltninger, ansvarlig for implementeringen af hver foranstaltning, samt deadline for afsluttet implementering. 
f) Opnå risikoejernes godkendelse af risikohåndteringsplan(erne) og accept af restrisici. 
• Risikohåndteringsprocessen er dokumenteret.</t>
    </r>
  </si>
  <si>
    <t>Det er vigtigt systematisk at evaluere og følge op på implementeringen af ISMS’et. Organisationens modenhed kan eksempelvis vurderes ud fra følgende elementer:
• Der er eksempelvis processer, hvor det besluttes, hvad der skal overvåges og måles, og hvem der skal gøre det.
• Resultaterne af overvågning og måling bliver analyseret mhp. at bidrage til evaluering af det samlede ISMS.
• Med planlagte intervaller gennemføres interne audits med fokus på at sikre den røde tråd mellem ISO27001, organisationens egne krav og organisationens efterlevelse af kravene.
• Ledelsen gennemgår evalueringen af ISMS’et mhp. at vurdere ledelsessystemets egnethed og tilstrækkelighed, eksempelvis på et møde ifm. årsafslutningen.
Hent mere vejledning under ”Evaluering og forbedring” på sikkerdigital.dk.</t>
  </si>
  <si>
    <t>Ved outsourcing afgives en del af kontrollen med informationer. Det er derfor vigtigt at sikre et højt sikkerhedsniveau. Organisationens modenhed kan eksempelvis vurderes ud fra følgende elementer:  
• Der eksisterer eksempelvis en oversigt over outsourcede processer og systemer.
• Informationssikkerhedskrav indgår i kontrakter og samarbejdsaftaler med leverandører og samarbejdspartnere.
• Der føres tilsyn med leverandørernes efterlevelse af informationssikkerhedskravene, eksempelvis gennem indhentning af revisionserklæringer, auditeringer og tests.
• Der følges op på resultaterne af auditeringer og tests.  
• Der er løbende dialog om sikkerhed med organisationens leverandører, eksempelvis gennem jævnlige møder, hvor sikkerhed er på dagsordenen.
Hent mere vejledning under ”leverandørstyring” på sikkerdigital.dk/myndighed.</t>
  </si>
  <si>
    <r>
      <t xml:space="preserve">Håndtering af beredskabssituationer (A.17.1.2)
</t>
    </r>
    <r>
      <rPr>
        <sz val="12"/>
        <color theme="1"/>
        <rFont val="Garamond"/>
        <family val="1"/>
      </rPr>
      <t xml:space="preserve">• Organisationen har en plan for håndtering af beredskabssituationer, herunder for organisering og aktivering af beredskabsorganisationen. </t>
    </r>
  </si>
  <si>
    <t>Målsætninger (6.2)</t>
  </si>
  <si>
    <t>Et velfungerende ISMS kræver en række understøttende supportelementer, såsom ressourcer, viden og dokumentation. Organisationens modenhed kan eksempelvis vurderes ud fra følgende elementer:  
• Der er afsat tilstrækkelige ressourcer til at gennemføre planer og aktiviteter i relation til ISMS’et. Dette inkluderer både årsværk og budget. 
• Der arbejdes systematisk med kompetenceopbygning af medarbejdere, eksempelvis gennem uddannelse på introforløb eller interne kompetenceforløb for enten medarbejdere eller ledere.
• Kompetenceudviklingen dokumenteres, eksempelvis via individuelle eller organisatoriske kompetenceudviklingsplaner eller via organisationens kursus- og uddannelsesoversigter. 
• Der eksisterer en awareness plan for organisationen, eksempelvis indeholdende phishingkampagner, adfærdsoplæg e.l.
• Organisationen har al den nødvendige dokumentation, som ISO 27001 kræver, og som skal understøtte de tilvalgte foranstaltninger i anneks A. Se evt. listen over obligatorisk dokumentation i ISO 27001 under ”Dokumentation” på sikkerdigital.dk. 
• Organisationens dokumentationsproces er beskrevet, herunder hvordan ændringer håndteres, dokumenter opbevares og adgangsbegrænses mm.
Hent mere vejledning under ”Virkemidler” på sikkerdigital.dk</t>
  </si>
  <si>
    <r>
      <t xml:space="preserve">[2] Driftplanlægning og -styring (ISO-kapitel 8.1)
</t>
    </r>
    <r>
      <rPr>
        <sz val="12"/>
        <color theme="1"/>
        <rFont val="Garamond"/>
        <family val="1"/>
      </rPr>
      <t xml:space="preserve">• Organisationen styrer planlagte ændringer og gennemgår konsekvenserne af utilsigtede ændringer og afbøder eventuelle negative virkninger ved gennemførelse af planerne. </t>
    </r>
  </si>
  <si>
    <r>
      <t xml:space="preserve">Vurdering af informationssikkerhedsrisici (ISO-kapitel 8.2)
</t>
    </r>
    <r>
      <rPr>
        <sz val="12"/>
        <color theme="1"/>
        <rFont val="Garamond"/>
        <family val="1"/>
      </rPr>
      <t xml:space="preserve">• Organisationen gennemfører risikovurderinger med planlagte mellemrum, eller når væsentlige ændringer foreslås eller finder sted. 
• Organisationen har dokumentation for resultater af disse risikovurderinger. </t>
    </r>
  </si>
  <si>
    <r>
      <t xml:space="preserve">Bestemmelse af omfanget af ledelsessystemet for informationssikkerhed (ISO-kapitel 4.3)
• </t>
    </r>
    <r>
      <rPr>
        <sz val="12"/>
        <color theme="1"/>
        <rFont val="Garamond"/>
        <family val="1"/>
      </rPr>
      <t xml:space="preserve">Organisationen fastlægger grænserne og anvendelsesmulighederne for ISMS'et for at fastslå dets omfang. 
• Når omfanget fastlægges, har organisationen taget følgende i betragtning: 
1) forståelse af organisationens og dennes kontekst,
2) interessenters behov og 
3) forventninger samt de grænseflader og afhængigheder mellem aktiviteter, som organisationen udfører, og aktiviteter, som andre organisationer udfører. 
• Omfanget er tilgængeligt som dokumenteret information. </t>
    </r>
  </si>
  <si>
    <t>2. Lederskab</t>
  </si>
  <si>
    <t>På faneblad '4 Opsummering' vises den samlede modenhed for de ni spørgeområder i et søjlediagram. Den ønskede modenhed er angivet med en stiplet grøn linje. Er det ønskede modenhedsniveau opnået bliver området automatisk sat til grøn i tabellen under grafen. Er det samlede modenshedsniveau under det ønskede niveau, markeres området i stedet som rød eller gul afhængigt af "afstanden" fra det ønskede niveau (se figur 5). 
På faneblad '4 Opsummering' er der også diagrammer, der viser vurderingen af de enkelte spørgsmål på de ni spørgeområder. Her angiver den horisontale stiplede røde linje (Egenvurdering af implementering) det samlede modenhedsniveau. Søjlerne viser derimod vurderingen af modenhedsniveauet for de enkelte spørgsmål under hvert spørgeområde (se figur 6). 
Faneblad 4, Opsummering, kan benyttes af myndighederne til intern ledelsesrapportering.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</si>
</sst>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68" x14ac:knownFonts="1">
    <font>
      <sz val="11"/>
      <color theme="1"/>
      <name val="Calibri"/>
      <family val="2"/>
      <scheme val="minor"/>
    </font>
    <font>
      <u/>
      <sz val="11"/>
      <color theme="10"/>
      <name val="Calibri"/>
      <family val="2"/>
      <scheme val="minor"/>
    </font>
    <font>
      <sz val="11"/>
      <color theme="1"/>
      <name val="Garamond"/>
      <family val="1"/>
    </font>
    <font>
      <b/>
      <sz val="36"/>
      <color theme="1"/>
      <name val="Garamond"/>
      <family val="1"/>
    </font>
    <font>
      <b/>
      <sz val="18"/>
      <color theme="0"/>
      <name val="Garamond"/>
      <family val="1"/>
    </font>
    <font>
      <sz val="11"/>
      <name val="Garamond"/>
      <family val="1"/>
    </font>
    <font>
      <b/>
      <sz val="11"/>
      <color theme="1"/>
      <name val="Garamond"/>
      <family val="1"/>
    </font>
    <font>
      <b/>
      <sz val="28"/>
      <color theme="0"/>
      <name val="Garamond"/>
      <family val="1"/>
    </font>
    <font>
      <b/>
      <sz val="18"/>
      <color rgb="FF000000"/>
      <name val="Garamond"/>
      <family val="1"/>
    </font>
    <font>
      <sz val="14"/>
      <color rgb="FF000000"/>
      <name val="Garamond"/>
      <family val="1"/>
    </font>
    <font>
      <sz val="14"/>
      <color theme="1"/>
      <name val="Garamond"/>
      <family val="1"/>
    </font>
    <font>
      <u/>
      <sz val="14"/>
      <color theme="10"/>
      <name val="Garamond"/>
      <family val="1"/>
    </font>
    <font>
      <b/>
      <sz val="12"/>
      <color theme="1"/>
      <name val="Garamond"/>
      <family val="1"/>
    </font>
    <font>
      <b/>
      <sz val="12"/>
      <name val="Garamond"/>
      <family val="1"/>
    </font>
    <font>
      <sz val="12"/>
      <name val="Garamond"/>
      <family val="1"/>
    </font>
    <font>
      <sz val="12"/>
      <color theme="1"/>
      <name val="Garamond"/>
      <family val="1"/>
    </font>
    <font>
      <sz val="11"/>
      <name val="Calibri Light"/>
      <family val="2"/>
      <scheme val="major"/>
    </font>
    <font>
      <sz val="12"/>
      <name val="Calibri Light"/>
      <family val="2"/>
      <scheme val="major"/>
    </font>
    <font>
      <sz val="11"/>
      <color theme="1"/>
      <name val="Calibri Light"/>
      <family val="2"/>
      <scheme val="major"/>
    </font>
    <font>
      <sz val="11"/>
      <color theme="1"/>
      <name val="Calibri"/>
      <family val="2"/>
      <scheme val="minor"/>
    </font>
    <font>
      <u/>
      <sz val="11"/>
      <name val="Calibri Light"/>
      <family val="2"/>
      <scheme val="major"/>
    </font>
    <font>
      <b/>
      <sz val="11"/>
      <color theme="0"/>
      <name val="Calibri"/>
      <family val="2"/>
      <scheme val="minor"/>
    </font>
    <font>
      <b/>
      <sz val="24"/>
      <color theme="1"/>
      <name val="Garamond"/>
      <family val="1"/>
    </font>
    <font>
      <sz val="18"/>
      <name val="Calibri Light"/>
      <family val="2"/>
      <scheme val="major"/>
    </font>
    <font>
      <b/>
      <sz val="11"/>
      <color theme="1"/>
      <name val="Calibri Light"/>
      <family val="2"/>
      <scheme val="major"/>
    </font>
    <font>
      <b/>
      <sz val="11"/>
      <name val="Calibri Light"/>
      <family val="2"/>
      <scheme val="major"/>
    </font>
    <font>
      <i/>
      <sz val="11"/>
      <name val="Garamond"/>
      <family val="1"/>
    </font>
    <font>
      <b/>
      <sz val="28"/>
      <color theme="1"/>
      <name val="Garamond"/>
      <family val="1"/>
    </font>
    <font>
      <i/>
      <sz val="12"/>
      <name val="Garamond"/>
      <family val="1"/>
    </font>
    <font>
      <i/>
      <sz val="12"/>
      <color theme="1"/>
      <name val="Garamond"/>
      <family val="1"/>
    </font>
    <font>
      <sz val="16"/>
      <color theme="1"/>
      <name val="Garamond"/>
      <family val="1"/>
    </font>
    <font>
      <b/>
      <sz val="16"/>
      <color theme="1"/>
      <name val="Garamond"/>
      <family val="1"/>
    </font>
    <font>
      <u/>
      <sz val="12"/>
      <color theme="10"/>
      <name val="Garamond"/>
      <family val="1"/>
    </font>
    <font>
      <sz val="12"/>
      <color rgb="FF000000"/>
      <name val="Garamond"/>
      <family val="1"/>
    </font>
    <font>
      <b/>
      <sz val="11"/>
      <color theme="0"/>
      <name val="Garamond"/>
      <family val="1"/>
    </font>
    <font>
      <sz val="9"/>
      <color theme="1"/>
      <name val="Garamond"/>
      <family val="1"/>
    </font>
    <font>
      <sz val="10"/>
      <color theme="1"/>
      <name val="Garamond"/>
      <family val="1"/>
    </font>
    <font>
      <u/>
      <sz val="8"/>
      <color rgb="FF008080"/>
      <name val="Garamond"/>
      <family val="1"/>
    </font>
    <font>
      <b/>
      <u/>
      <sz val="14"/>
      <color theme="1"/>
      <name val="Garamond"/>
      <family val="1"/>
    </font>
    <font>
      <sz val="8"/>
      <color theme="1"/>
      <name val="Garamond"/>
      <family val="1"/>
    </font>
    <font>
      <b/>
      <sz val="9"/>
      <color theme="1"/>
      <name val="Garamond"/>
      <family val="1"/>
    </font>
    <font>
      <sz val="11"/>
      <color rgb="FF000000"/>
      <name val="Calibri"/>
      <family val="2"/>
      <scheme val="minor"/>
    </font>
    <font>
      <b/>
      <sz val="11"/>
      <color rgb="FF940027"/>
      <name val="Garamond"/>
      <family val="1"/>
    </font>
    <font>
      <b/>
      <u/>
      <sz val="12"/>
      <color rgb="FF940027"/>
      <name val="Garamond"/>
      <family val="1"/>
    </font>
    <font>
      <sz val="11"/>
      <color rgb="FF940027"/>
      <name val="Garamond"/>
      <family val="1"/>
    </font>
    <font>
      <sz val="12"/>
      <color rgb="FF940027"/>
      <name val="Garamond"/>
      <family val="1"/>
    </font>
    <font>
      <b/>
      <sz val="12"/>
      <color rgb="FF940027"/>
      <name val="Garamond"/>
      <family val="1"/>
    </font>
    <font>
      <b/>
      <u/>
      <sz val="12"/>
      <name val="Garamond"/>
      <family val="1"/>
    </font>
    <font>
      <sz val="9"/>
      <name val="Garamond"/>
      <family val="1"/>
    </font>
    <font>
      <b/>
      <sz val="11"/>
      <name val="Garamond"/>
      <family val="1"/>
    </font>
    <font>
      <sz val="18"/>
      <color theme="1"/>
      <name val="Garamond"/>
      <family val="1"/>
    </font>
    <font>
      <b/>
      <sz val="14"/>
      <color theme="1"/>
      <name val="Garamond"/>
      <family val="1"/>
    </font>
    <font>
      <b/>
      <sz val="18"/>
      <color theme="1"/>
      <name val="Garamond"/>
      <family val="1"/>
    </font>
    <font>
      <i/>
      <sz val="16"/>
      <color theme="1"/>
      <name val="Garamond"/>
      <family val="1"/>
    </font>
    <font>
      <i/>
      <sz val="14"/>
      <color theme="1"/>
      <name val="Garamond"/>
      <family val="1"/>
    </font>
    <font>
      <sz val="11"/>
      <name val="Calibri"/>
      <family val="2"/>
      <scheme val="minor"/>
    </font>
    <font>
      <b/>
      <i/>
      <sz val="12"/>
      <name val="Garamond"/>
      <family val="1"/>
    </font>
    <font>
      <b/>
      <sz val="12"/>
      <name val="Calibri Light"/>
      <family val="2"/>
      <scheme val="major"/>
    </font>
    <font>
      <b/>
      <sz val="12"/>
      <name val="Calibri"/>
      <family val="2"/>
      <scheme val="minor"/>
    </font>
    <font>
      <b/>
      <sz val="20"/>
      <color theme="0"/>
      <name val="Garamond"/>
      <family val="1"/>
    </font>
    <font>
      <sz val="14"/>
      <name val="Garamond"/>
      <family val="1"/>
    </font>
    <font>
      <b/>
      <sz val="14"/>
      <name val="Garamond"/>
      <family val="1"/>
    </font>
    <font>
      <sz val="11"/>
      <color theme="1"/>
      <name val="Calibri"/>
      <scheme val="minor"/>
    </font>
    <font>
      <sz val="11"/>
      <color theme="0"/>
      <name val="Calibri Light"/>
      <family val="2"/>
      <scheme val="major"/>
    </font>
    <font>
      <sz val="11"/>
      <color theme="0"/>
      <name val="Calibri"/>
      <family val="2"/>
      <scheme val="minor"/>
    </font>
    <font>
      <sz val="12"/>
      <color theme="2" tint="-9.9978637043366805E-2"/>
      <name val="Garamond"/>
      <family val="1"/>
    </font>
    <font>
      <sz val="16"/>
      <color theme="0"/>
      <name val="Wingdings"/>
      <charset val="2"/>
    </font>
    <font>
      <sz val="16"/>
      <color theme="1"/>
      <name val="Calibri Light"/>
      <family val="2"/>
      <scheme val="major"/>
    </font>
  </fonts>
  <fills count="22">
    <fill>
      <patternFill patternType="none"/>
    </fill>
    <fill>
      <patternFill patternType="gray125"/>
    </fill>
    <fill>
      <patternFill patternType="solid">
        <fgColor theme="2" tint="-9.9978637043366805E-2"/>
        <bgColor indexed="64"/>
      </patternFill>
    </fill>
    <fill>
      <patternFill patternType="solid">
        <fgColor rgb="FF940027"/>
        <bgColor indexed="64"/>
      </patternFill>
    </fill>
    <fill>
      <patternFill patternType="solid">
        <fgColor rgb="FFFFFEF6"/>
        <bgColor indexed="64"/>
      </patternFill>
    </fill>
    <fill>
      <gradientFill degree="90">
        <stop position="0">
          <color theme="2" tint="-9.8025452436902985E-2"/>
        </stop>
        <stop position="1">
          <color rgb="FFFFFEF6"/>
        </stop>
      </gradientFill>
    </fill>
    <fill>
      <patternFill patternType="solid">
        <fgColor rgb="FFA91931"/>
        <bgColor indexed="64"/>
      </patternFill>
    </fill>
    <fill>
      <patternFill patternType="solid">
        <fgColor rgb="FFFFFFFF"/>
        <bgColor indexed="64"/>
      </patternFill>
    </fill>
    <fill>
      <patternFill patternType="solid">
        <fgColor theme="4" tint="0.79998168889431442"/>
        <bgColor indexed="64"/>
      </patternFill>
    </fill>
    <fill>
      <patternFill patternType="solid">
        <fgColor theme="4" tint="0.79998168889431442"/>
        <bgColor theme="4" tint="0.79998168889431442"/>
      </patternFill>
    </fill>
    <fill>
      <gradientFill degree="90">
        <stop position="0">
          <color theme="0"/>
        </stop>
        <stop position="1">
          <color theme="0" tint="-0.25098422193060094"/>
        </stop>
      </gradientFill>
    </fill>
    <fill>
      <patternFill patternType="solid">
        <fgColor theme="0"/>
        <bgColor indexed="64"/>
      </patternFill>
    </fill>
    <fill>
      <patternFill patternType="solid">
        <fgColor rgb="FFFF0000"/>
        <bgColor indexed="64"/>
      </patternFill>
    </fill>
    <fill>
      <patternFill patternType="solid">
        <fgColor rgb="FFFF797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4"/>
        <bgColor theme="4"/>
      </patternFill>
    </fill>
    <fill>
      <patternFill patternType="solid">
        <fgColor theme="3" tint="0.79998168889431442"/>
        <bgColor indexed="64"/>
      </patternFill>
    </fill>
    <fill>
      <patternFill patternType="solid">
        <fgColor theme="4" tint="-0.249977111117893"/>
        <bgColor indexed="64"/>
      </patternFill>
    </fill>
    <fill>
      <gradientFill degree="90">
        <stop position="0">
          <color theme="2" tint="-9.8025452436902985E-2"/>
        </stop>
        <stop position="1">
          <color theme="0"/>
        </stop>
      </gradientFill>
    </fill>
    <fill>
      <patternFill patternType="solid">
        <fgColor rgb="FFFFFF00"/>
        <bgColor indexed="64"/>
      </patternFill>
    </fill>
  </fills>
  <borders count="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rgb="FF000000"/>
      </right>
      <top/>
      <bottom/>
      <diagonal/>
    </border>
    <border>
      <left/>
      <right/>
      <top style="thin">
        <color theme="4" tint="0.39997558519241921"/>
      </top>
      <bottom/>
      <diagonal/>
    </border>
    <border>
      <left style="thin">
        <color indexed="64"/>
      </left>
      <right style="thin">
        <color indexed="64"/>
      </right>
      <top style="thin">
        <color indexed="64"/>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right style="thin">
        <color theme="4" tint="0.39997558519241921"/>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style="thin">
        <color theme="4" tint="0.39997558519241921"/>
      </bottom>
      <diagonal/>
    </border>
    <border>
      <left/>
      <right style="dotted">
        <color indexed="64"/>
      </right>
      <top/>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indexed="64"/>
      </top>
      <bottom style="thin">
        <color auto="1"/>
      </bottom>
      <diagonal/>
    </border>
    <border>
      <left style="mediumDashed">
        <color indexed="64"/>
      </left>
      <right style="mediumDashed">
        <color indexed="64"/>
      </right>
      <top style="mediumDashed">
        <color indexed="64"/>
      </top>
      <bottom style="mediumDashed">
        <color indexed="64"/>
      </bottom>
      <diagonal/>
    </border>
    <border>
      <left style="mediumDashed">
        <color indexed="64"/>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mediumDashDotDot">
        <color indexed="64"/>
      </left>
      <right style="mediumDashDotDot">
        <color indexed="64"/>
      </right>
      <top style="mediumDashDotDot">
        <color indexed="64"/>
      </top>
      <bottom style="mediumDashDotDot">
        <color indexed="64"/>
      </bottom>
      <diagonal/>
    </border>
    <border>
      <left/>
      <right style="thin">
        <color indexed="64"/>
      </right>
      <top/>
      <bottom style="thin">
        <color indexed="64"/>
      </bottom>
      <diagonal/>
    </border>
    <border>
      <left/>
      <right/>
      <top/>
      <bottom style="medium">
        <color indexed="64"/>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theme="4" tint="0.39997558519241921"/>
      </left>
      <right style="thin">
        <color theme="4" tint="0.39997558519241921"/>
      </right>
      <top/>
      <bottom style="thin">
        <color theme="4" tint="0.39997558519241921"/>
      </bottom>
      <diagonal/>
    </border>
    <border>
      <left style="thin">
        <color indexed="64"/>
      </left>
      <right/>
      <top/>
      <bottom style="medium">
        <color indexed="64"/>
      </bottom>
      <diagonal/>
    </border>
    <border>
      <left style="mediumDashed">
        <color indexed="64"/>
      </left>
      <right/>
      <top style="mediumDashed">
        <color indexed="64"/>
      </top>
      <bottom style="mediumDashed">
        <color indexed="64"/>
      </bottom>
      <diagonal/>
    </border>
    <border>
      <left style="thin">
        <color indexed="64"/>
      </left>
      <right/>
      <top/>
      <bottom/>
      <diagonal/>
    </border>
    <border>
      <left style="thin">
        <color indexed="64"/>
      </left>
      <right style="mediumDashed">
        <color indexed="64"/>
      </right>
      <top/>
      <bottom/>
      <diagonal/>
    </border>
    <border>
      <left style="thin">
        <color indexed="64"/>
      </left>
      <right style="thin">
        <color indexed="64"/>
      </right>
      <top/>
      <bottom/>
      <diagonal/>
    </border>
    <border>
      <left style="thin">
        <color indexed="64"/>
      </left>
      <right style="mediumDashDotDot">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DashDotDot">
        <color indexed="64"/>
      </right>
      <top/>
      <bottom/>
      <diagonal/>
    </border>
    <border>
      <left style="mediumDashDotDot">
        <color indexed="64"/>
      </left>
      <right style="thin">
        <color indexed="64"/>
      </right>
      <top style="thin">
        <color auto="1"/>
      </top>
      <bottom style="medium">
        <color indexed="64"/>
      </bottom>
      <diagonal/>
    </border>
  </borders>
  <cellStyleXfs count="3">
    <xf numFmtId="0" fontId="0" fillId="0" borderId="0"/>
    <xf numFmtId="0" fontId="1" fillId="0" borderId="0" applyNumberFormat="0" applyFill="0" applyBorder="0" applyAlignment="0" applyProtection="0"/>
    <xf numFmtId="9" fontId="19" fillId="0" borderId="0" applyFont="0" applyFill="0" applyBorder="0" applyAlignment="0" applyProtection="0"/>
  </cellStyleXfs>
  <cellXfs count="345">
    <xf numFmtId="0" fontId="0" fillId="0" borderId="0" xfId="0"/>
    <xf numFmtId="0" fontId="0" fillId="4" borderId="0" xfId="0" applyFill="1"/>
    <xf numFmtId="0" fontId="0" fillId="6" borderId="0" xfId="0" applyFill="1"/>
    <xf numFmtId="0" fontId="0" fillId="0" borderId="0" xfId="0" applyAlignment="1">
      <alignment vertical="center"/>
    </xf>
    <xf numFmtId="0" fontId="2" fillId="4" borderId="0" xfId="0" applyFont="1" applyFill="1"/>
    <xf numFmtId="0" fontId="2" fillId="2" borderId="0" xfId="0" applyFont="1" applyFill="1" applyBorder="1"/>
    <xf numFmtId="0" fontId="2" fillId="5" borderId="0" xfId="0" applyFont="1" applyFill="1"/>
    <xf numFmtId="0" fontId="2" fillId="3" borderId="0" xfId="0" applyFont="1" applyFill="1"/>
    <xf numFmtId="0" fontId="4" fillId="3" borderId="0" xfId="0" applyFont="1" applyFill="1" applyAlignment="1">
      <alignment horizontal="left" vertical="center"/>
    </xf>
    <xf numFmtId="0" fontId="5" fillId="0" borderId="0" xfId="0" applyFont="1" applyFill="1"/>
    <xf numFmtId="0" fontId="2" fillId="0" borderId="0" xfId="0" applyFont="1" applyFill="1" applyBorder="1"/>
    <xf numFmtId="0" fontId="2" fillId="2" borderId="0" xfId="0" applyFont="1" applyFill="1"/>
    <xf numFmtId="0" fontId="8" fillId="0" borderId="0" xfId="0" applyFont="1"/>
    <xf numFmtId="0" fontId="9" fillId="0" borderId="0" xfId="0" applyFont="1"/>
    <xf numFmtId="0" fontId="9" fillId="0" borderId="0" xfId="0" applyFont="1" applyAlignment="1">
      <alignment horizontal="left" vertical="center"/>
    </xf>
    <xf numFmtId="0" fontId="0" fillId="6" borderId="0" xfId="0" applyFill="1" applyAlignment="1">
      <alignment vertical="center"/>
    </xf>
    <xf numFmtId="0" fontId="7" fillId="6" borderId="0" xfId="0" applyFont="1" applyFill="1" applyAlignment="1">
      <alignment vertical="center"/>
    </xf>
    <xf numFmtId="0" fontId="0" fillId="4" borderId="0" xfId="0" applyFill="1" applyAlignment="1">
      <alignment vertical="center"/>
    </xf>
    <xf numFmtId="0" fontId="11" fillId="0" borderId="0" xfId="1" applyFont="1"/>
    <xf numFmtId="0" fontId="10" fillId="0" borderId="0" xfId="0" applyFont="1" applyAlignment="1">
      <alignment horizontal="left"/>
    </xf>
    <xf numFmtId="0" fontId="2" fillId="4" borderId="0" xfId="0" applyFont="1" applyFill="1" applyBorder="1"/>
    <xf numFmtId="0" fontId="13" fillId="0" borderId="0" xfId="0" applyFont="1" applyFill="1"/>
    <xf numFmtId="0" fontId="0" fillId="0" borderId="0" xfId="0" applyNumberFormat="1"/>
    <xf numFmtId="0" fontId="14" fillId="0" borderId="0" xfId="0" applyFont="1" applyFill="1"/>
    <xf numFmtId="0" fontId="15" fillId="0" borderId="0" xfId="0" applyFont="1" applyFill="1" applyBorder="1"/>
    <xf numFmtId="0" fontId="15" fillId="0" borderId="0" xfId="0" applyFont="1" applyFill="1"/>
    <xf numFmtId="0" fontId="16" fillId="0" borderId="0" xfId="0" applyFont="1" applyFill="1"/>
    <xf numFmtId="0" fontId="17" fillId="0" borderId="0" xfId="0" applyFont="1" applyFill="1"/>
    <xf numFmtId="0" fontId="16" fillId="0" borderId="0" xfId="0" applyFont="1" applyFill="1" applyBorder="1"/>
    <xf numFmtId="0" fontId="18" fillId="0" borderId="0" xfId="0" applyFont="1" applyFill="1"/>
    <xf numFmtId="9" fontId="12" fillId="5" borderId="0" xfId="2" applyFont="1" applyFill="1" applyBorder="1" applyAlignment="1">
      <alignment horizontal="center" vertical="center"/>
    </xf>
    <xf numFmtId="0" fontId="3" fillId="0" borderId="0" xfId="0" applyFont="1"/>
    <xf numFmtId="0" fontId="20" fillId="0" borderId="0" xfId="0" applyFont="1" applyFill="1" applyAlignment="1">
      <alignment horizontal="center"/>
    </xf>
    <xf numFmtId="0" fontId="18" fillId="0" borderId="0" xfId="0" applyFont="1" applyFill="1" applyBorder="1" applyAlignment="1">
      <alignment horizontal="center"/>
    </xf>
    <xf numFmtId="0" fontId="20" fillId="0" borderId="0" xfId="0" applyFont="1" applyFill="1" applyAlignment="1">
      <alignment horizontal="left"/>
    </xf>
    <xf numFmtId="0" fontId="16" fillId="0" borderId="0" xfId="0" applyFont="1" applyFill="1" applyBorder="1" applyAlignment="1">
      <alignment horizontal="left"/>
    </xf>
    <xf numFmtId="0" fontId="20" fillId="0" borderId="0" xfId="0" applyFont="1" applyFill="1" applyAlignment="1">
      <alignment horizontal="left" vertical="center"/>
    </xf>
    <xf numFmtId="0" fontId="16" fillId="0" borderId="0" xfId="0" applyFont="1" applyFill="1" applyBorder="1" applyAlignment="1">
      <alignment horizontal="right" vertical="center"/>
    </xf>
    <xf numFmtId="0" fontId="18" fillId="0" borderId="0" xfId="0" applyNumberFormat="1" applyFont="1" applyFill="1"/>
    <xf numFmtId="0" fontId="18" fillId="0" borderId="0" xfId="0" applyFont="1"/>
    <xf numFmtId="0" fontId="18" fillId="0" borderId="0" xfId="0" applyFont="1" applyFill="1" applyBorder="1"/>
    <xf numFmtId="0" fontId="18" fillId="4" borderId="0" xfId="0" applyFont="1" applyFill="1"/>
    <xf numFmtId="0" fontId="18" fillId="5" borderId="0" xfId="0" applyFont="1" applyFill="1"/>
    <xf numFmtId="0" fontId="18" fillId="3" borderId="0" xfId="0" applyFont="1" applyFill="1"/>
    <xf numFmtId="0" fontId="18" fillId="0" borderId="0" xfId="0" applyFont="1" applyFill="1" applyAlignment="1">
      <alignment horizontal="left" vertical="center"/>
    </xf>
    <xf numFmtId="0" fontId="16" fillId="0" borderId="0" xfId="0" applyFont="1" applyFill="1" applyAlignment="1">
      <alignment horizontal="left"/>
    </xf>
    <xf numFmtId="0" fontId="17" fillId="0" borderId="0" xfId="0" applyFont="1" applyFill="1" applyAlignment="1">
      <alignment horizontal="center" vertical="center"/>
    </xf>
    <xf numFmtId="0" fontId="18" fillId="0" borderId="0" xfId="0" applyFont="1" applyFill="1" applyBorder="1" applyAlignment="1">
      <alignment horizontal="left" vertical="center"/>
    </xf>
    <xf numFmtId="49" fontId="12" fillId="0" borderId="0" xfId="0" applyNumberFormat="1" applyFont="1" applyFill="1" applyBorder="1" applyAlignment="1">
      <alignment vertical="center"/>
    </xf>
    <xf numFmtId="0" fontId="21" fillId="3" borderId="0" xfId="0" applyFont="1" applyFill="1" applyBorder="1"/>
    <xf numFmtId="0" fontId="0" fillId="0" borderId="9" xfId="0" applyFont="1" applyFill="1" applyBorder="1"/>
    <xf numFmtId="14" fontId="0" fillId="0" borderId="9" xfId="0" applyNumberFormat="1" applyFont="1" applyFill="1" applyBorder="1"/>
    <xf numFmtId="0" fontId="0" fillId="0" borderId="9" xfId="0" applyNumberFormat="1" applyFont="1" applyFill="1" applyBorder="1"/>
    <xf numFmtId="49" fontId="21" fillId="3" borderId="0" xfId="0" applyNumberFormat="1" applyFont="1" applyFill="1" applyBorder="1"/>
    <xf numFmtId="49" fontId="0" fillId="0" borderId="0" xfId="0" applyNumberFormat="1"/>
    <xf numFmtId="14" fontId="21" fillId="3" borderId="0" xfId="0" applyNumberFormat="1" applyFont="1" applyFill="1" applyBorder="1"/>
    <xf numFmtId="0" fontId="24" fillId="0" borderId="0" xfId="0" applyFont="1"/>
    <xf numFmtId="0" fontId="24" fillId="0" borderId="0" xfId="0" applyFont="1" applyFill="1"/>
    <xf numFmtId="0" fontId="25" fillId="0" borderId="0" xfId="0" applyFont="1" applyFill="1"/>
    <xf numFmtId="0" fontId="18" fillId="0" borderId="0" xfId="0" applyFont="1" applyFill="1" applyAlignment="1">
      <alignment horizontal="center"/>
    </xf>
    <xf numFmtId="0" fontId="18" fillId="0" borderId="0" xfId="0" applyFont="1" applyFill="1" applyAlignment="1">
      <alignment horizontal="left"/>
    </xf>
    <xf numFmtId="0" fontId="23" fillId="0" borderId="0" xfId="0" applyFont="1" applyFill="1" applyBorder="1" applyAlignment="1">
      <alignment horizontal="left" vertical="center"/>
    </xf>
    <xf numFmtId="0" fontId="0" fillId="9" borderId="15" xfId="0" applyNumberFormat="1" applyFont="1" applyFill="1" applyBorder="1"/>
    <xf numFmtId="0" fontId="0" fillId="9" borderId="16" xfId="0" applyNumberFormat="1" applyFont="1" applyFill="1" applyBorder="1"/>
    <xf numFmtId="0" fontId="21" fillId="3" borderId="17" xfId="0" applyFont="1" applyFill="1" applyBorder="1"/>
    <xf numFmtId="0" fontId="2" fillId="0" borderId="0" xfId="0" applyFont="1" applyFill="1"/>
    <xf numFmtId="0" fontId="16" fillId="0" borderId="0" xfId="0" applyFont="1" applyFill="1" applyAlignment="1">
      <alignment horizontal="left" vertical="center" wrapText="1"/>
    </xf>
    <xf numFmtId="0" fontId="16" fillId="0" borderId="0" xfId="0" applyFont="1" applyFill="1" applyAlignment="1">
      <alignment horizontal="center" vertical="center" wrapText="1"/>
    </xf>
    <xf numFmtId="0" fontId="18" fillId="0" borderId="0" xfId="0" applyFont="1" applyFill="1" applyBorder="1" applyAlignment="1">
      <alignment horizontal="center" vertical="center"/>
    </xf>
    <xf numFmtId="0" fontId="20" fillId="0" borderId="0" xfId="0" applyFont="1" applyFill="1" applyAlignment="1">
      <alignment horizontal="center" vertical="center"/>
    </xf>
    <xf numFmtId="0" fontId="26" fillId="0" borderId="0" xfId="0" applyFont="1" applyFill="1"/>
    <xf numFmtId="0" fontId="27" fillId="4" borderId="0" xfId="0" applyFont="1" applyFill="1" applyAlignment="1">
      <alignment vertical="center"/>
    </xf>
    <xf numFmtId="0" fontId="14" fillId="0" borderId="0" xfId="0" applyFont="1" applyFill="1" applyBorder="1"/>
    <xf numFmtId="0" fontId="4" fillId="3" borderId="1" xfId="0" applyFont="1" applyFill="1" applyBorder="1" applyAlignment="1">
      <alignment horizontal="left" vertical="center"/>
    </xf>
    <xf numFmtId="0" fontId="4" fillId="3" borderId="7" xfId="0" applyFont="1" applyFill="1" applyBorder="1" applyAlignment="1">
      <alignment horizontal="left" vertical="center"/>
    </xf>
    <xf numFmtId="0" fontId="29" fillId="0" borderId="0" xfId="0" applyFont="1" applyFill="1"/>
    <xf numFmtId="0" fontId="15" fillId="0" borderId="0" xfId="0" applyFont="1" applyFill="1" applyBorder="1" applyAlignment="1">
      <alignment vertical="top"/>
    </xf>
    <xf numFmtId="0" fontId="15" fillId="2" borderId="0" xfId="0" applyFont="1" applyFill="1" applyBorder="1"/>
    <xf numFmtId="0" fontId="15" fillId="2" borderId="0" xfId="0" applyFont="1" applyFill="1"/>
    <xf numFmtId="0" fontId="15" fillId="4" borderId="0" xfId="0" applyFont="1" applyFill="1"/>
    <xf numFmtId="0" fontId="12" fillId="4" borderId="0" xfId="0" applyFont="1" applyFill="1" applyAlignment="1">
      <alignment vertical="center"/>
    </xf>
    <xf numFmtId="0" fontId="15" fillId="5" borderId="0" xfId="0" applyFont="1" applyFill="1" applyBorder="1"/>
    <xf numFmtId="0" fontId="13" fillId="5" borderId="0" xfId="0" applyFont="1" applyFill="1" applyBorder="1" applyAlignment="1"/>
    <xf numFmtId="0" fontId="15" fillId="3" borderId="7" xfId="0" applyFont="1" applyFill="1" applyBorder="1"/>
    <xf numFmtId="0" fontId="14" fillId="0" borderId="0" xfId="0" applyFont="1" applyFill="1" applyAlignment="1">
      <alignment horizontal="center" vertical="center"/>
    </xf>
    <xf numFmtId="0" fontId="14" fillId="0" borderId="0" xfId="0" applyFont="1" applyFill="1" applyBorder="1" applyAlignment="1">
      <alignment horizontal="center"/>
    </xf>
    <xf numFmtId="9" fontId="14" fillId="0" borderId="0" xfId="0" applyNumberFormat="1" applyFont="1" applyFill="1" applyBorder="1"/>
    <xf numFmtId="164" fontId="15" fillId="2" borderId="0" xfId="0" applyNumberFormat="1" applyFont="1" applyFill="1" applyBorder="1"/>
    <xf numFmtId="0" fontId="15" fillId="0" borderId="0" xfId="0" applyFont="1" applyFill="1" applyAlignment="1">
      <alignment horizontal="center" vertical="center"/>
    </xf>
    <xf numFmtId="0" fontId="12" fillId="0" borderId="0" xfId="0" applyFont="1" applyAlignment="1">
      <alignment vertical="center"/>
    </xf>
    <xf numFmtId="0" fontId="12" fillId="0" borderId="0" xfId="0" applyFont="1" applyFill="1" applyAlignment="1">
      <alignment horizontal="center" vertical="center"/>
    </xf>
    <xf numFmtId="0" fontId="15" fillId="0" borderId="0" xfId="0" applyFont="1" applyFill="1" applyAlignment="1"/>
    <xf numFmtId="0" fontId="33" fillId="0" borderId="0" xfId="0" applyFont="1"/>
    <xf numFmtId="0" fontId="15" fillId="7" borderId="0" xfId="0" applyFont="1" applyFill="1" applyBorder="1" applyAlignment="1">
      <alignment horizontal="center"/>
    </xf>
    <xf numFmtId="0" fontId="3" fillId="4" borderId="0" xfId="0" applyFont="1" applyFill="1" applyAlignment="1">
      <alignment vertical="top"/>
    </xf>
    <xf numFmtId="0" fontId="28" fillId="0" borderId="0" xfId="0" applyFont="1" applyFill="1"/>
    <xf numFmtId="0" fontId="0" fillId="0" borderId="0" xfId="0" applyNumberFormat="1" applyFont="1" applyFill="1" applyBorder="1"/>
    <xf numFmtId="14" fontId="0" fillId="0" borderId="0" xfId="0" applyNumberFormat="1" applyFont="1" applyFill="1" applyBorder="1"/>
    <xf numFmtId="0" fontId="2" fillId="0" borderId="0" xfId="0" applyFont="1"/>
    <xf numFmtId="0" fontId="6" fillId="0" borderId="0" xfId="0" applyFont="1"/>
    <xf numFmtId="0" fontId="2" fillId="0" borderId="18" xfId="0" applyFont="1" applyBorder="1"/>
    <xf numFmtId="0" fontId="2" fillId="0" borderId="18" xfId="0" applyFont="1" applyBorder="1" applyAlignment="1">
      <alignment wrapText="1"/>
    </xf>
    <xf numFmtId="0" fontId="2" fillId="6" borderId="0" xfId="0" applyFont="1" applyFill="1"/>
    <xf numFmtId="0" fontId="34" fillId="3" borderId="13" xfId="0" applyFont="1" applyFill="1" applyBorder="1"/>
    <xf numFmtId="0" fontId="34" fillId="3" borderId="0" xfId="0" applyFont="1" applyFill="1" applyBorder="1"/>
    <xf numFmtId="0" fontId="34" fillId="3" borderId="14" xfId="0" applyFont="1" applyFill="1" applyBorder="1"/>
    <xf numFmtId="0" fontId="35" fillId="0" borderId="0" xfId="0" applyFont="1" applyAlignment="1">
      <alignment vertical="center"/>
    </xf>
    <xf numFmtId="0" fontId="36" fillId="0" borderId="11" xfId="0" applyFont="1" applyFill="1" applyBorder="1"/>
    <xf numFmtId="0" fontId="36" fillId="9" borderId="12" xfId="0" applyFont="1" applyFill="1" applyBorder="1"/>
    <xf numFmtId="0" fontId="2" fillId="0" borderId="0" xfId="0" applyNumberFormat="1" applyFont="1"/>
    <xf numFmtId="0" fontId="35" fillId="0" borderId="0" xfId="0" applyFont="1"/>
    <xf numFmtId="0" fontId="37" fillId="0" borderId="0" xfId="0" applyFont="1"/>
    <xf numFmtId="0" fontId="2" fillId="10" borderId="0" xfId="0" applyFont="1" applyFill="1"/>
    <xf numFmtId="0" fontId="38" fillId="10" borderId="0" xfId="0" applyNumberFormat="1" applyFont="1" applyFill="1"/>
    <xf numFmtId="0" fontId="35" fillId="10" borderId="0" xfId="0" applyFont="1" applyFill="1" applyAlignment="1">
      <alignment vertical="center"/>
    </xf>
    <xf numFmtId="0" fontId="2" fillId="10" borderId="18" xfId="0" applyFont="1" applyFill="1" applyBorder="1"/>
    <xf numFmtId="0" fontId="39" fillId="0" borderId="0" xfId="0" applyFont="1"/>
    <xf numFmtId="0" fontId="12" fillId="0" borderId="0" xfId="0" applyFont="1" applyAlignment="1">
      <alignment horizontal="right"/>
    </xf>
    <xf numFmtId="0" fontId="15" fillId="0" borderId="0" xfId="0" applyNumberFormat="1" applyFont="1"/>
    <xf numFmtId="0" fontId="2" fillId="0" borderId="6" xfId="0" applyFont="1" applyBorder="1" applyAlignment="1">
      <alignment horizontal="center"/>
    </xf>
    <xf numFmtId="0" fontId="15" fillId="0" borderId="0" xfId="0" applyFont="1"/>
    <xf numFmtId="0" fontId="40" fillId="0" borderId="0" xfId="0" applyFont="1" applyAlignment="1">
      <alignment vertical="center"/>
    </xf>
    <xf numFmtId="0" fontId="2" fillId="0" borderId="0" xfId="0" applyFont="1" applyAlignment="1">
      <alignment horizontal="right"/>
    </xf>
    <xf numFmtId="0" fontId="35" fillId="0" borderId="18" xfId="0" applyFont="1" applyBorder="1" applyAlignment="1">
      <alignment vertical="center"/>
    </xf>
    <xf numFmtId="0" fontId="2" fillId="10" borderId="0" xfId="0" applyFont="1" applyFill="1" applyAlignment="1">
      <alignment horizontal="right"/>
    </xf>
    <xf numFmtId="0" fontId="39" fillId="0" borderId="0" xfId="0" applyFont="1" applyAlignment="1">
      <alignment vertical="center"/>
    </xf>
    <xf numFmtId="0" fontId="40" fillId="0" borderId="0" xfId="0" applyFont="1"/>
    <xf numFmtId="0" fontId="35" fillId="0" borderId="0" xfId="0" applyFont="1" applyFill="1"/>
    <xf numFmtId="0" fontId="35" fillId="0" borderId="0" xfId="0" applyFont="1" applyFill="1" applyBorder="1"/>
    <xf numFmtId="0" fontId="39" fillId="0" borderId="0" xfId="0" applyFont="1" applyBorder="1" applyAlignment="1">
      <alignment vertical="center" wrapText="1"/>
    </xf>
    <xf numFmtId="0" fontId="2" fillId="0" borderId="0" xfId="0" applyFont="1" applyAlignment="1">
      <alignment horizontal="left" vertical="center"/>
    </xf>
    <xf numFmtId="0" fontId="0" fillId="0" borderId="10" xfId="0" applyFont="1" applyBorder="1" applyAlignment="1">
      <alignment horizontal="center"/>
    </xf>
    <xf numFmtId="0" fontId="14" fillId="0" borderId="0" xfId="0" applyFont="1" applyFill="1" applyAlignment="1">
      <alignment wrapText="1"/>
    </xf>
    <xf numFmtId="0" fontId="2" fillId="4" borderId="0" xfId="0" applyFont="1" applyFill="1" applyAlignment="1">
      <alignment vertical="top"/>
    </xf>
    <xf numFmtId="0" fontId="5" fillId="0" borderId="0" xfId="0" applyFont="1" applyFill="1" applyAlignment="1">
      <alignment vertical="top"/>
    </xf>
    <xf numFmtId="0" fontId="2" fillId="2" borderId="0" xfId="0" applyFont="1" applyFill="1" applyBorder="1" applyAlignment="1">
      <alignment vertical="top"/>
    </xf>
    <xf numFmtId="0" fontId="2" fillId="4" borderId="0" xfId="0" applyFont="1" applyFill="1" applyAlignment="1">
      <alignment horizontal="center"/>
    </xf>
    <xf numFmtId="0" fontId="41" fillId="0" borderId="0" xfId="0" applyFont="1"/>
    <xf numFmtId="0" fontId="30" fillId="0" borderId="0" xfId="0" applyFont="1" applyAlignment="1">
      <alignment vertical="top" wrapText="1"/>
    </xf>
    <xf numFmtId="0" fontId="30" fillId="0" borderId="0" xfId="0" applyFont="1" applyAlignment="1">
      <alignment vertical="top" wrapText="1"/>
    </xf>
    <xf numFmtId="0" fontId="43" fillId="0" borderId="0" xfId="0" applyNumberFormat="1" applyFont="1"/>
    <xf numFmtId="0" fontId="44" fillId="0" borderId="0" xfId="0" applyFont="1" applyAlignment="1">
      <alignment horizontal="right"/>
    </xf>
    <xf numFmtId="0" fontId="45" fillId="0" borderId="0" xfId="0" applyFont="1"/>
    <xf numFmtId="0" fontId="46" fillId="0" borderId="0" xfId="0" applyFont="1" applyAlignment="1">
      <alignment horizontal="right"/>
    </xf>
    <xf numFmtId="0" fontId="44" fillId="0" borderId="0" xfId="0" applyFont="1"/>
    <xf numFmtId="0" fontId="42" fillId="0" borderId="0" xfId="0" applyFont="1"/>
    <xf numFmtId="0" fontId="36" fillId="0" borderId="0" xfId="0" applyFont="1" applyBorder="1" applyAlignment="1">
      <alignment vertical="top" wrapText="1"/>
    </xf>
    <xf numFmtId="0" fontId="30" fillId="0" borderId="0" xfId="0" applyFont="1" applyAlignment="1">
      <alignment vertical="top" wrapText="1"/>
    </xf>
    <xf numFmtId="2" fontId="0" fillId="0" borderId="9" xfId="0" applyNumberFormat="1" applyFont="1" applyFill="1" applyBorder="1"/>
    <xf numFmtId="0" fontId="5" fillId="0" borderId="0" xfId="0" applyFont="1" applyAlignment="1">
      <alignment horizontal="right"/>
    </xf>
    <xf numFmtId="0" fontId="47" fillId="0" borderId="0" xfId="0" applyFont="1"/>
    <xf numFmtId="0" fontId="5" fillId="0" borderId="0" xfId="0" applyFont="1"/>
    <xf numFmtId="0" fontId="48" fillId="0" borderId="18" xfId="0" applyFont="1" applyBorder="1" applyAlignment="1">
      <alignment vertical="center"/>
    </xf>
    <xf numFmtId="0" fontId="49" fillId="0" borderId="0" xfId="0" applyNumberFormat="1" applyFont="1" applyAlignment="1">
      <alignment horizontal="right"/>
    </xf>
    <xf numFmtId="0" fontId="14" fillId="0" borderId="0" xfId="0" applyFont="1"/>
    <xf numFmtId="0" fontId="5" fillId="0" borderId="18" xfId="0" applyFont="1" applyBorder="1"/>
    <xf numFmtId="0" fontId="5" fillId="0" borderId="0" xfId="0" applyFont="1" applyBorder="1" applyAlignment="1">
      <alignment horizontal="center"/>
    </xf>
    <xf numFmtId="0" fontId="14" fillId="0" borderId="0" xfId="0" applyNumberFormat="1" applyFont="1"/>
    <xf numFmtId="0" fontId="48" fillId="0" borderId="0" xfId="0" applyFont="1" applyAlignment="1">
      <alignment vertical="center"/>
    </xf>
    <xf numFmtId="0" fontId="5" fillId="0" borderId="18" xfId="0" applyFont="1" applyBorder="1" applyAlignment="1">
      <alignment horizontal="center"/>
    </xf>
    <xf numFmtId="0" fontId="5" fillId="0" borderId="0" xfId="0" applyNumberFormat="1" applyFont="1"/>
    <xf numFmtId="0" fontId="49" fillId="0" borderId="0" xfId="0" applyFont="1" applyAlignment="1">
      <alignment horizontal="right"/>
    </xf>
    <xf numFmtId="0" fontId="47" fillId="0" borderId="0" xfId="0" applyNumberFormat="1" applyFont="1"/>
    <xf numFmtId="0" fontId="15" fillId="0" borderId="0" xfId="0" applyFont="1" applyFill="1" applyBorder="1" applyAlignment="1">
      <alignment horizontal="center" vertical="center"/>
    </xf>
    <xf numFmtId="0" fontId="15" fillId="7" borderId="21" xfId="0" applyFont="1" applyFill="1" applyBorder="1" applyAlignment="1">
      <alignment horizontal="left" vertical="top" wrapText="1"/>
    </xf>
    <xf numFmtId="0" fontId="50" fillId="7" borderId="22" xfId="0" applyFont="1" applyFill="1" applyBorder="1" applyAlignment="1" applyProtection="1">
      <alignment horizontal="center" vertical="center" wrapText="1"/>
      <protection locked="0"/>
    </xf>
    <xf numFmtId="0" fontId="15" fillId="0" borderId="0" xfId="0" applyFont="1" applyFill="1" applyAlignment="1">
      <alignment horizontal="center"/>
    </xf>
    <xf numFmtId="0" fontId="15" fillId="0" borderId="23" xfId="0" applyFont="1" applyFill="1" applyBorder="1" applyAlignment="1">
      <alignment horizontal="center" vertical="center"/>
    </xf>
    <xf numFmtId="0" fontId="30" fillId="0" borderId="0" xfId="0" applyFont="1" applyAlignment="1">
      <alignment vertical="top" wrapText="1"/>
    </xf>
    <xf numFmtId="0" fontId="35" fillId="0" borderId="0" xfId="0" applyFont="1" applyAlignment="1">
      <alignment vertical="center" wrapText="1"/>
    </xf>
    <xf numFmtId="0" fontId="35" fillId="0" borderId="0" xfId="0" applyFont="1" applyAlignment="1">
      <alignment horizontal="left" vertical="top" wrapText="1"/>
    </xf>
    <xf numFmtId="0" fontId="2" fillId="0" borderId="0" xfId="0" applyFont="1" applyAlignment="1">
      <alignment horizontal="left" vertical="top"/>
    </xf>
    <xf numFmtId="0" fontId="36" fillId="9" borderId="9" xfId="0" applyFont="1" applyFill="1" applyBorder="1" applyAlignment="1">
      <alignment wrapText="1"/>
    </xf>
    <xf numFmtId="0" fontId="51" fillId="0" borderId="0" xfId="0" applyFont="1" applyFill="1"/>
    <xf numFmtId="0" fontId="10" fillId="0" borderId="0" xfId="0" applyFont="1" applyAlignment="1">
      <alignment vertical="top" wrapText="1"/>
    </xf>
    <xf numFmtId="0" fontId="29" fillId="2" borderId="21" xfId="0" applyFont="1" applyFill="1" applyBorder="1" applyAlignment="1">
      <alignment horizontal="left" vertical="top" wrapText="1"/>
    </xf>
    <xf numFmtId="0" fontId="35" fillId="0" borderId="0" xfId="0" applyFont="1" applyAlignment="1">
      <alignment vertical="top" wrapText="1"/>
    </xf>
    <xf numFmtId="0" fontId="0" fillId="12" borderId="0" xfId="0" applyFill="1"/>
    <xf numFmtId="0" fontId="15" fillId="7" borderId="3"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15" fillId="7" borderId="25" xfId="0" applyFont="1" applyFill="1" applyBorder="1" applyAlignment="1">
      <alignment horizontal="center" vertical="center" wrapText="1"/>
    </xf>
    <xf numFmtId="0" fontId="15" fillId="7" borderId="19"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0" fillId="0" borderId="29" xfId="0" applyBorder="1"/>
    <xf numFmtId="0" fontId="0" fillId="0" borderId="0" xfId="0" applyBorder="1"/>
    <xf numFmtId="0" fontId="15" fillId="0" borderId="0" xfId="0" applyFont="1" applyFill="1" applyBorder="1" applyAlignment="1">
      <alignment horizontal="left" vertical="top" wrapText="1"/>
    </xf>
    <xf numFmtId="0" fontId="50" fillId="7" borderId="31" xfId="0" applyFont="1" applyFill="1" applyBorder="1" applyAlignment="1" applyProtection="1">
      <alignment horizontal="center" vertical="center" wrapText="1"/>
      <protection locked="0"/>
    </xf>
    <xf numFmtId="0" fontId="52" fillId="0" borderId="0" xfId="0" applyFont="1" applyAlignment="1">
      <alignment vertical="center"/>
    </xf>
    <xf numFmtId="0" fontId="15" fillId="7" borderId="2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24" xfId="0" applyFont="1" applyFill="1" applyBorder="1" applyAlignment="1">
      <alignment horizontal="center" vertical="center" wrapText="1"/>
    </xf>
    <xf numFmtId="0" fontId="15" fillId="7" borderId="30"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53" fillId="0" borderId="0" xfId="0" applyFont="1" applyFill="1"/>
    <xf numFmtId="0" fontId="15" fillId="7" borderId="35" xfId="0" applyFont="1" applyFill="1" applyBorder="1" applyAlignment="1">
      <alignment horizontal="center" vertical="center" wrapText="1"/>
    </xf>
    <xf numFmtId="0" fontId="15" fillId="7" borderId="36" xfId="0" applyFont="1" applyFill="1" applyBorder="1" applyAlignment="1">
      <alignment horizontal="center" vertical="center" wrapText="1"/>
    </xf>
    <xf numFmtId="0" fontId="54" fillId="0" borderId="0" xfId="0" applyFont="1" applyFill="1"/>
    <xf numFmtId="0" fontId="51" fillId="0" borderId="0" xfId="0" applyFont="1" applyAlignment="1">
      <alignment vertical="center"/>
    </xf>
    <xf numFmtId="0" fontId="52" fillId="0" borderId="0" xfId="0" applyFont="1" applyAlignment="1"/>
    <xf numFmtId="0" fontId="50" fillId="15" borderId="31" xfId="0" applyFont="1" applyFill="1" applyBorder="1" applyAlignment="1" applyProtection="1">
      <alignment horizontal="center" vertical="center" wrapText="1"/>
      <protection locked="0"/>
    </xf>
    <xf numFmtId="0" fontId="15" fillId="7" borderId="41" xfId="0" applyFont="1" applyFill="1" applyBorder="1" applyAlignment="1">
      <alignment horizontal="center" vertical="center" wrapText="1"/>
    </xf>
    <xf numFmtId="0" fontId="15" fillId="7" borderId="40" xfId="0" applyFont="1" applyFill="1" applyBorder="1" applyAlignment="1">
      <alignment horizontal="center" vertical="center" wrapText="1"/>
    </xf>
    <xf numFmtId="0" fontId="15" fillId="7" borderId="42" xfId="0" applyFont="1" applyFill="1" applyBorder="1" applyAlignment="1">
      <alignment horizontal="center" vertical="center" wrapText="1"/>
    </xf>
    <xf numFmtId="0" fontId="15" fillId="7" borderId="43" xfId="0" applyFont="1" applyFill="1" applyBorder="1" applyAlignment="1">
      <alignment horizontal="center" vertical="center" wrapText="1"/>
    </xf>
    <xf numFmtId="0" fontId="15" fillId="7" borderId="44" xfId="0" applyFont="1" applyFill="1" applyBorder="1" applyAlignment="1">
      <alignment horizontal="center" vertical="center" wrapText="1"/>
    </xf>
    <xf numFmtId="0" fontId="15" fillId="7" borderId="45" xfId="0" applyFont="1" applyFill="1" applyBorder="1" applyAlignment="1">
      <alignment horizontal="center" vertical="center" wrapText="1"/>
    </xf>
    <xf numFmtId="0" fontId="15" fillId="7" borderId="46" xfId="0" applyFont="1" applyFill="1" applyBorder="1" applyAlignment="1">
      <alignment horizontal="center" vertical="center" wrapText="1"/>
    </xf>
    <xf numFmtId="0" fontId="15" fillId="7" borderId="47" xfId="0" applyFont="1" applyFill="1" applyBorder="1" applyAlignment="1">
      <alignment horizontal="center" vertical="center" wrapText="1"/>
    </xf>
    <xf numFmtId="0" fontId="15" fillId="7" borderId="48" xfId="0" applyFont="1" applyFill="1" applyBorder="1" applyAlignment="1">
      <alignment horizontal="center" vertical="center" wrapText="1"/>
    </xf>
    <xf numFmtId="0" fontId="13" fillId="0" borderId="0" xfId="0" applyFont="1" applyFill="1" applyAlignment="1">
      <alignment horizontal="right"/>
    </xf>
    <xf numFmtId="0" fontId="12" fillId="0" borderId="0" xfId="0" applyFont="1" applyFill="1" applyBorder="1" applyAlignment="1">
      <alignment horizontal="right"/>
    </xf>
    <xf numFmtId="0" fontId="12" fillId="0" borderId="0" xfId="0" applyFont="1" applyFill="1" applyAlignment="1">
      <alignment horizontal="right"/>
    </xf>
    <xf numFmtId="0" fontId="0" fillId="12" borderId="29" xfId="0" applyFill="1" applyBorder="1"/>
    <xf numFmtId="0" fontId="0" fillId="0" borderId="28" xfId="0" applyBorder="1"/>
    <xf numFmtId="0" fontId="0" fillId="12" borderId="28" xfId="0" applyFill="1" applyBorder="1"/>
    <xf numFmtId="0" fontId="0" fillId="12" borderId="7" xfId="0" applyFill="1" applyBorder="1"/>
    <xf numFmtId="0" fontId="0" fillId="12" borderId="0" xfId="0" applyFill="1" applyBorder="1"/>
    <xf numFmtId="0" fontId="18" fillId="16" borderId="0" xfId="0" applyFont="1" applyFill="1"/>
    <xf numFmtId="0" fontId="16" fillId="0" borderId="0" xfId="0" applyFont="1" applyFill="1" applyAlignment="1">
      <alignment horizontal="center"/>
    </xf>
    <xf numFmtId="0" fontId="25" fillId="0" borderId="0" xfId="0" applyFont="1" applyFill="1" applyAlignment="1">
      <alignment horizontal="center"/>
    </xf>
    <xf numFmtId="0" fontId="16" fillId="0" borderId="0" xfId="0" applyFont="1" applyFill="1" applyAlignment="1">
      <alignment horizontal="left" vertical="center" wrapText="1"/>
    </xf>
    <xf numFmtId="0" fontId="21" fillId="17" borderId="49" xfId="0" applyFont="1" applyFill="1" applyBorder="1"/>
    <xf numFmtId="0" fontId="55" fillId="0" borderId="0" xfId="0" applyFont="1"/>
    <xf numFmtId="0" fontId="18" fillId="0" borderId="0" xfId="0" applyFont="1" applyBorder="1"/>
    <xf numFmtId="0" fontId="18" fillId="0" borderId="0" xfId="0" applyFont="1" applyBorder="1" applyAlignment="1">
      <alignment horizontal="center" vertical="center" wrapText="1"/>
    </xf>
    <xf numFmtId="0" fontId="18" fillId="11" borderId="0" xfId="0" applyFont="1" applyFill="1"/>
    <xf numFmtId="0" fontId="58" fillId="0" borderId="0" xfId="0" applyFont="1" applyFill="1" applyAlignment="1">
      <alignment horizontal="center" vertical="center" wrapText="1"/>
    </xf>
    <xf numFmtId="0" fontId="57" fillId="0" borderId="0" xfId="0" applyFont="1" applyFill="1" applyAlignment="1">
      <alignment horizontal="center" vertical="center"/>
    </xf>
    <xf numFmtId="0" fontId="18" fillId="14" borderId="0" xfId="0" applyFont="1" applyFill="1"/>
    <xf numFmtId="0" fontId="59" fillId="3" borderId="7" xfId="0" applyFont="1" applyFill="1" applyBorder="1"/>
    <xf numFmtId="0" fontId="60" fillId="0" borderId="0" xfId="1" applyFont="1" applyAlignment="1"/>
    <xf numFmtId="0" fontId="51" fillId="0" borderId="0" xfId="0" applyFont="1" applyFill="1" applyBorder="1"/>
    <xf numFmtId="0" fontId="61" fillId="0" borderId="0" xfId="0" applyFont="1" applyFill="1"/>
    <xf numFmtId="0" fontId="60" fillId="0" borderId="0" xfId="0" applyFont="1" applyFill="1"/>
    <xf numFmtId="0" fontId="33" fillId="0" borderId="7" xfId="0" applyFont="1" applyBorder="1"/>
    <xf numFmtId="0" fontId="33" fillId="18" borderId="33" xfId="0" applyFont="1" applyFill="1" applyBorder="1"/>
    <xf numFmtId="0" fontId="33" fillId="0" borderId="29" xfId="0" applyFont="1" applyBorder="1"/>
    <xf numFmtId="0" fontId="52" fillId="0" borderId="29" xfId="0" applyFont="1" applyFill="1" applyBorder="1" applyAlignment="1">
      <alignment vertical="center" wrapText="1"/>
    </xf>
    <xf numFmtId="0" fontId="0" fillId="0" borderId="0" xfId="0" quotePrefix="1"/>
    <xf numFmtId="0" fontId="62" fillId="0" borderId="9" xfId="0" applyNumberFormat="1" applyFont="1" applyFill="1" applyBorder="1"/>
    <xf numFmtId="0" fontId="62" fillId="0" borderId="0" xfId="0" applyNumberFormat="1" applyFont="1" applyFill="1" applyBorder="1"/>
    <xf numFmtId="0" fontId="57" fillId="0" borderId="0" xfId="0" applyFont="1" applyFill="1" applyAlignment="1">
      <alignment horizontal="center"/>
    </xf>
    <xf numFmtId="0" fontId="58" fillId="0" borderId="0" xfId="0" applyFont="1" applyFill="1" applyAlignment="1">
      <alignment horizontal="center" vertical="center" wrapText="1"/>
    </xf>
    <xf numFmtId="0" fontId="57" fillId="0" borderId="0" xfId="0" applyFont="1" applyFill="1" applyAlignment="1">
      <alignment horizontal="center" vertical="center"/>
    </xf>
    <xf numFmtId="0" fontId="20" fillId="0" borderId="0" xfId="0" applyFont="1" applyFill="1" applyAlignment="1">
      <alignment horizontal="center" vertical="center"/>
    </xf>
    <xf numFmtId="0" fontId="16" fillId="0" borderId="0" xfId="0" applyFont="1" applyFill="1" applyAlignment="1">
      <alignment horizontal="left" vertical="center" wrapText="1"/>
    </xf>
    <xf numFmtId="0" fontId="16" fillId="0" borderId="0" xfId="0" applyFont="1" applyFill="1" applyAlignment="1">
      <alignment horizontal="center" vertical="center" wrapText="1"/>
    </xf>
    <xf numFmtId="0" fontId="18" fillId="0" borderId="0" xfId="0" applyFont="1" applyFill="1" applyBorder="1" applyAlignment="1">
      <alignment horizontal="center" vertical="center"/>
    </xf>
    <xf numFmtId="0" fontId="15" fillId="2" borderId="21" xfId="0" applyFont="1" applyFill="1" applyBorder="1" applyAlignment="1" applyProtection="1">
      <alignment horizontal="left" vertical="top" wrapText="1"/>
      <protection locked="0"/>
    </xf>
    <xf numFmtId="0" fontId="0" fillId="0" borderId="0" xfId="0" applyFill="1" applyBorder="1"/>
    <xf numFmtId="0" fontId="15" fillId="7" borderId="26" xfId="0" applyFont="1" applyFill="1" applyBorder="1" applyAlignment="1">
      <alignment horizontal="left" vertical="top" wrapText="1"/>
    </xf>
    <xf numFmtId="0" fontId="29" fillId="0" borderId="0" xfId="0" applyFont="1" applyFill="1" applyBorder="1" applyAlignment="1">
      <alignment horizontal="left" vertical="top" wrapText="1"/>
    </xf>
    <xf numFmtId="0" fontId="50" fillId="7" borderId="51" xfId="0" applyFont="1" applyFill="1" applyBorder="1" applyAlignment="1" applyProtection="1">
      <alignment horizontal="center" vertical="center" wrapText="1"/>
      <protection locked="0"/>
    </xf>
    <xf numFmtId="0" fontId="18" fillId="0" borderId="29" xfId="0" applyFont="1" applyBorder="1" applyAlignment="1">
      <alignment horizontal="center" vertical="center"/>
    </xf>
    <xf numFmtId="0" fontId="15" fillId="7" borderId="52" xfId="0" applyFont="1" applyFill="1" applyBorder="1" applyAlignment="1">
      <alignment horizontal="left" vertical="top" wrapText="1"/>
    </xf>
    <xf numFmtId="0" fontId="15" fillId="7" borderId="53" xfId="0" applyFont="1" applyFill="1" applyBorder="1" applyAlignment="1">
      <alignment horizontal="left" vertical="top" wrapText="1"/>
    </xf>
    <xf numFmtId="0" fontId="15" fillId="7" borderId="54" xfId="0" applyFont="1" applyFill="1" applyBorder="1" applyAlignment="1">
      <alignment horizontal="left" vertical="top" wrapText="1"/>
    </xf>
    <xf numFmtId="0" fontId="15" fillId="7" borderId="38" xfId="0" applyFont="1" applyFill="1" applyBorder="1" applyAlignment="1">
      <alignment horizontal="left" vertical="top" wrapText="1"/>
    </xf>
    <xf numFmtId="0" fontId="15" fillId="0" borderId="53" xfId="0" applyFont="1" applyFill="1" applyBorder="1" applyAlignment="1">
      <alignment horizontal="left" vertical="top" wrapText="1"/>
    </xf>
    <xf numFmtId="0" fontId="15" fillId="0" borderId="55" xfId="0" applyFont="1" applyFill="1" applyBorder="1" applyAlignment="1">
      <alignment horizontal="left" vertical="top" wrapText="1"/>
    </xf>
    <xf numFmtId="0" fontId="12" fillId="0" borderId="0" xfId="0" applyFont="1" applyFill="1" applyBorder="1" applyAlignment="1">
      <alignment horizontal="center" vertical="center"/>
    </xf>
    <xf numFmtId="0" fontId="13" fillId="0" borderId="0" xfId="0" applyFont="1" applyFill="1" applyAlignment="1">
      <alignment vertical="top"/>
    </xf>
    <xf numFmtId="0" fontId="14" fillId="0" borderId="0" xfId="0" applyFont="1" applyFill="1" applyAlignment="1">
      <alignment vertical="top"/>
    </xf>
    <xf numFmtId="0" fontId="63" fillId="0" borderId="0" xfId="0" applyFont="1"/>
    <xf numFmtId="0" fontId="64" fillId="19" borderId="29" xfId="0" applyFont="1" applyFill="1" applyBorder="1"/>
    <xf numFmtId="0" fontId="64" fillId="19" borderId="0" xfId="0" applyFont="1" applyFill="1" applyBorder="1"/>
    <xf numFmtId="0" fontId="0" fillId="8" borderId="0" xfId="0" applyFill="1"/>
    <xf numFmtId="0" fontId="2" fillId="11" borderId="0" xfId="0" applyFont="1" applyFill="1"/>
    <xf numFmtId="0" fontId="14" fillId="0" borderId="0" xfId="0" applyFont="1" applyFill="1" applyAlignment="1">
      <alignment vertical="top" wrapText="1"/>
    </xf>
    <xf numFmtId="0" fontId="15" fillId="0" borderId="59" xfId="0" applyFont="1" applyFill="1" applyBorder="1" applyAlignment="1">
      <alignment horizontal="left" vertical="top" wrapText="1"/>
    </xf>
    <xf numFmtId="0" fontId="31" fillId="18" borderId="60" xfId="0" applyFont="1" applyFill="1" applyBorder="1" applyAlignment="1">
      <alignment horizontal="center" vertical="center" wrapText="1"/>
    </xf>
    <xf numFmtId="0" fontId="15" fillId="7" borderId="59" xfId="0" applyFont="1" applyFill="1" applyBorder="1" applyAlignment="1">
      <alignment horizontal="center"/>
    </xf>
    <xf numFmtId="0" fontId="15" fillId="7" borderId="38" xfId="0" applyFont="1" applyFill="1" applyBorder="1" applyAlignment="1">
      <alignment horizontal="center"/>
    </xf>
    <xf numFmtId="0" fontId="30" fillId="0" borderId="0" xfId="0" applyFont="1" applyAlignment="1">
      <alignment vertical="top" wrapText="1"/>
    </xf>
    <xf numFmtId="0" fontId="15" fillId="11" borderId="0" xfId="0" applyFont="1" applyFill="1" applyBorder="1" applyAlignment="1">
      <alignment horizontal="center" vertical="center"/>
    </xf>
    <xf numFmtId="0" fontId="15" fillId="2" borderId="0" xfId="0" applyFont="1" applyFill="1" applyAlignment="1">
      <alignment horizontal="center" vertical="center"/>
    </xf>
    <xf numFmtId="0" fontId="15" fillId="4" borderId="0" xfId="0" applyFont="1" applyFill="1" applyAlignment="1">
      <alignment horizontal="center" vertical="center"/>
    </xf>
    <xf numFmtId="0" fontId="15" fillId="5" borderId="0" xfId="0" applyFont="1" applyFill="1" applyBorder="1" applyAlignment="1">
      <alignment horizontal="center" vertical="center"/>
    </xf>
    <xf numFmtId="0" fontId="15" fillId="3" borderId="2" xfId="0" applyFont="1" applyFill="1" applyBorder="1" applyAlignment="1">
      <alignment horizontal="center" vertical="center"/>
    </xf>
    <xf numFmtId="9" fontId="12" fillId="20" borderId="0" xfId="2" applyFont="1" applyFill="1" applyBorder="1" applyAlignment="1">
      <alignment horizontal="center" vertical="center"/>
    </xf>
    <xf numFmtId="0" fontId="65" fillId="2" borderId="0" xfId="0" applyFont="1" applyFill="1" applyBorder="1"/>
    <xf numFmtId="0" fontId="65" fillId="0" borderId="0" xfId="0" applyFont="1" applyFill="1" applyBorder="1"/>
    <xf numFmtId="0" fontId="15" fillId="21" borderId="0" xfId="0" applyFont="1" applyFill="1" applyBorder="1" applyAlignment="1">
      <alignment vertical="top"/>
    </xf>
    <xf numFmtId="0" fontId="15" fillId="21" borderId="0" xfId="0" quotePrefix="1" applyFont="1" applyFill="1" applyBorder="1" applyAlignment="1">
      <alignment vertical="top"/>
    </xf>
    <xf numFmtId="0" fontId="18" fillId="18" borderId="0" xfId="0" applyFont="1" applyFill="1" applyBorder="1" applyAlignment="1">
      <alignment horizontal="center" vertical="center" wrapText="1"/>
    </xf>
    <xf numFmtId="0" fontId="15" fillId="20" borderId="0" xfId="0" applyFont="1" applyFill="1"/>
    <xf numFmtId="0" fontId="12" fillId="0" borderId="0"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0" applyFont="1" applyFill="1" applyAlignment="1">
      <alignment horizontal="left" wrapText="1"/>
    </xf>
    <xf numFmtId="0" fontId="12" fillId="0" borderId="29"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29" xfId="0" applyFont="1" applyFill="1" applyBorder="1" applyAlignment="1">
      <alignment horizontal="left" vertical="top" wrapText="1"/>
    </xf>
    <xf numFmtId="0" fontId="12" fillId="0" borderId="32" xfId="0" applyFont="1" applyFill="1" applyBorder="1" applyAlignment="1">
      <alignment horizontal="left" vertical="top" wrapText="1"/>
    </xf>
    <xf numFmtId="0" fontId="10" fillId="0" borderId="28" xfId="0" applyFont="1" applyBorder="1" applyAlignment="1">
      <alignment vertical="top" wrapText="1"/>
    </xf>
    <xf numFmtId="0" fontId="10" fillId="0" borderId="0" xfId="0" applyFont="1" applyBorder="1" applyAlignment="1">
      <alignment vertical="top" wrapText="1"/>
    </xf>
    <xf numFmtId="0" fontId="10" fillId="0" borderId="29" xfId="0" applyFont="1" applyBorder="1" applyAlignment="1">
      <alignment vertical="top" wrapText="1"/>
    </xf>
    <xf numFmtId="0" fontId="52" fillId="0" borderId="29"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1" fillId="0" borderId="7" xfId="0" applyFont="1" applyFill="1" applyBorder="1" applyAlignment="1"/>
    <xf numFmtId="0" fontId="52" fillId="18" borderId="33" xfId="0" applyFont="1" applyFill="1" applyBorder="1" applyAlignment="1">
      <alignment horizontal="left" vertical="center" wrapText="1"/>
    </xf>
    <xf numFmtId="0" fontId="12" fillId="13" borderId="0"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34" xfId="0" applyFont="1" applyFill="1" applyBorder="1" applyAlignment="1">
      <alignment horizontal="left" vertical="top" wrapText="1"/>
    </xf>
    <xf numFmtId="0" fontId="12" fillId="13" borderId="8" xfId="0" applyFont="1" applyFill="1" applyBorder="1" applyAlignment="1">
      <alignment horizontal="left" vertical="top" wrapText="1"/>
    </xf>
    <xf numFmtId="0" fontId="51" fillId="0" borderId="7" xfId="0" applyFont="1" applyFill="1" applyBorder="1"/>
    <xf numFmtId="0" fontId="51" fillId="0" borderId="28" xfId="0" applyFont="1" applyFill="1" applyBorder="1" applyAlignment="1">
      <alignment horizontal="left"/>
    </xf>
    <xf numFmtId="0" fontId="52" fillId="0" borderId="7" xfId="0" applyFont="1" applyFill="1" applyBorder="1" applyAlignment="1">
      <alignment vertical="center" wrapText="1"/>
    </xf>
    <xf numFmtId="0" fontId="14" fillId="8" borderId="1" xfId="0" applyFont="1" applyFill="1" applyBorder="1" applyAlignment="1" applyProtection="1">
      <alignment horizontal="center"/>
      <protection locked="0"/>
    </xf>
    <xf numFmtId="0" fontId="14" fillId="8" borderId="2" xfId="0" applyFont="1" applyFill="1" applyBorder="1" applyAlignment="1" applyProtection="1">
      <alignment horizontal="center"/>
      <protection locked="0"/>
    </xf>
    <xf numFmtId="0" fontId="1" fillId="8" borderId="1" xfId="1" applyFill="1" applyBorder="1" applyAlignment="1" applyProtection="1">
      <alignment horizontal="center"/>
      <protection locked="0"/>
    </xf>
    <xf numFmtId="0" fontId="32" fillId="8" borderId="2" xfId="1" applyFont="1" applyFill="1" applyBorder="1" applyAlignment="1" applyProtection="1">
      <alignment horizontal="center"/>
      <protection locked="0"/>
    </xf>
    <xf numFmtId="14" fontId="14" fillId="8" borderId="1" xfId="0" applyNumberFormat="1" applyFont="1" applyFill="1" applyBorder="1" applyAlignment="1" applyProtection="1">
      <alignment horizontal="center"/>
      <protection locked="0"/>
    </xf>
    <xf numFmtId="14" fontId="14" fillId="8" borderId="2" xfId="0" applyNumberFormat="1" applyFont="1" applyFill="1" applyBorder="1" applyAlignment="1" applyProtection="1">
      <alignment horizontal="center"/>
      <protection locked="0"/>
    </xf>
    <xf numFmtId="0" fontId="15" fillId="0" borderId="28" xfId="0" applyFont="1" applyFill="1" applyBorder="1"/>
    <xf numFmtId="0" fontId="51" fillId="0" borderId="29" xfId="0" applyFont="1" applyFill="1" applyBorder="1"/>
    <xf numFmtId="0" fontId="8" fillId="0" borderId="29" xfId="0" applyFont="1" applyBorder="1" applyAlignment="1">
      <alignment horizontal="left" vertical="center" wrapText="1"/>
    </xf>
    <xf numFmtId="0" fontId="31" fillId="18" borderId="30" xfId="0" applyFont="1" applyFill="1" applyBorder="1" applyAlignment="1">
      <alignment horizontal="center" vertical="center" wrapText="1"/>
    </xf>
    <xf numFmtId="0" fontId="31" fillId="18" borderId="28" xfId="0" applyFont="1" applyFill="1" applyBorder="1" applyAlignment="1">
      <alignment horizontal="center" vertical="center" wrapText="1"/>
    </xf>
    <xf numFmtId="0" fontId="31" fillId="18" borderId="37" xfId="0" applyFont="1" applyFill="1" applyBorder="1" applyAlignment="1">
      <alignment horizontal="center" vertical="center" wrapText="1"/>
    </xf>
    <xf numFmtId="0" fontId="31" fillId="18" borderId="39" xfId="0" applyFont="1" applyFill="1" applyBorder="1" applyAlignment="1">
      <alignment horizontal="center" vertical="center" wrapText="1"/>
    </xf>
    <xf numFmtId="0" fontId="31" fillId="18" borderId="29" xfId="0" applyFont="1" applyFill="1" applyBorder="1" applyAlignment="1">
      <alignment horizontal="center" vertical="center" wrapText="1"/>
    </xf>
    <xf numFmtId="0" fontId="31" fillId="18" borderId="32" xfId="0" applyFont="1" applyFill="1" applyBorder="1" applyAlignment="1">
      <alignment horizontal="center" vertical="center" wrapText="1"/>
    </xf>
    <xf numFmtId="0" fontId="67" fillId="18" borderId="57" xfId="0" applyFont="1" applyFill="1" applyBorder="1" applyAlignment="1">
      <alignment horizontal="center" vertical="center"/>
    </xf>
    <xf numFmtId="0" fontId="67" fillId="18" borderId="58" xfId="0" applyFont="1" applyFill="1" applyBorder="1" applyAlignment="1">
      <alignment horizontal="center" vertical="center"/>
    </xf>
    <xf numFmtId="0" fontId="67" fillId="0" borderId="37" xfId="0" applyFont="1" applyBorder="1" applyAlignment="1">
      <alignment horizontal="left" vertical="center" indent="2"/>
    </xf>
    <xf numFmtId="0" fontId="67" fillId="0" borderId="56" xfId="0" applyFont="1" applyBorder="1" applyAlignment="1">
      <alignment horizontal="left" vertical="center" indent="2"/>
    </xf>
    <xf numFmtId="0" fontId="57" fillId="0" borderId="0" xfId="0" applyFont="1" applyFill="1" applyAlignment="1">
      <alignment horizontal="center"/>
    </xf>
    <xf numFmtId="0" fontId="58" fillId="0" borderId="0" xfId="0" applyFont="1" applyFill="1" applyAlignment="1">
      <alignment horizontal="center" vertical="center" wrapText="1"/>
    </xf>
    <xf numFmtId="0" fontId="57" fillId="0" borderId="0" xfId="0" applyFont="1" applyFill="1" applyAlignment="1">
      <alignment horizontal="center" vertical="center"/>
    </xf>
    <xf numFmtId="0" fontId="20" fillId="0" borderId="0" xfId="0" applyFont="1" applyFill="1" applyAlignment="1">
      <alignment horizontal="center" vertical="center"/>
    </xf>
    <xf numFmtId="0" fontId="16" fillId="0" borderId="0" xfId="0" applyFont="1" applyFill="1" applyAlignment="1">
      <alignment horizontal="left" vertical="center" wrapText="1"/>
    </xf>
    <xf numFmtId="0" fontId="16" fillId="0" borderId="0" xfId="0" applyFont="1" applyFill="1" applyAlignment="1">
      <alignment horizontal="center" vertical="center" wrapText="1"/>
    </xf>
    <xf numFmtId="0" fontId="18" fillId="0" borderId="0" xfId="0" applyFont="1" applyFill="1" applyBorder="1" applyAlignment="1">
      <alignment horizontal="center" vertical="center"/>
    </xf>
    <xf numFmtId="0" fontId="18" fillId="0" borderId="39"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33" xfId="0" applyFont="1" applyBorder="1" applyAlignment="1">
      <alignment horizontal="center" vertical="center"/>
    </xf>
    <xf numFmtId="0" fontId="66" fillId="0" borderId="30" xfId="0" applyFont="1" applyFill="1" applyBorder="1" applyAlignment="1">
      <alignment vertical="center"/>
    </xf>
    <xf numFmtId="0" fontId="66" fillId="0" borderId="50" xfId="0" applyFont="1" applyFill="1" applyBorder="1" applyAlignment="1">
      <alignment vertical="center"/>
    </xf>
    <xf numFmtId="0" fontId="22" fillId="4" borderId="0" xfId="0" applyFont="1" applyFill="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Alignment="1">
      <alignment horizontal="center" vertical="center"/>
    </xf>
  </cellXfs>
  <cellStyles count="3">
    <cellStyle name="Link" xfId="1" builtinId="8"/>
    <cellStyle name="Normal" xfId="0" builtinId="0"/>
    <cellStyle name="Procent" xfId="2" builtinId="5"/>
  </cellStyles>
  <dxfs count="235">
    <dxf>
      <font>
        <strike val="0"/>
        <outline val="0"/>
        <shadow val="0"/>
        <u val="none"/>
        <vertAlign val="baseline"/>
        <sz val="11"/>
        <color auto="1"/>
        <name val="Calibri"/>
        <scheme val="minor"/>
      </font>
    </dxf>
    <dxf>
      <border outline="0">
        <top style="thin">
          <color theme="4" tint="0.39997558519241921"/>
        </top>
      </border>
    </dxf>
    <dxf>
      <font>
        <strike val="0"/>
        <outline val="0"/>
        <shadow val="0"/>
        <u val="none"/>
        <vertAlign val="baseline"/>
        <sz val="11"/>
        <color auto="1"/>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Light"/>
        <scheme val="major"/>
      </font>
      <fill>
        <patternFill patternType="solid">
          <fgColor indexed="64"/>
          <bgColor theme="0" tint="-0.249977111117893"/>
        </patternFill>
      </fill>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indexed="64"/>
          <bgColor rgb="FF940027"/>
        </patternFill>
      </fill>
      <border diagonalUp="0" diagonalDown="0" outline="0">
        <left style="thin">
          <color theme="4" tint="0.39997558519241921"/>
        </left>
        <right style="thin">
          <color theme="4" tint="0.39997558519241921"/>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theme="4" tint="0.79998168889431442"/>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scheme val="minor"/>
      </font>
      <numFmt numFmtId="2" formatCode="0.00"/>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scheme val="minor"/>
      </font>
      <numFmt numFmtId="0" formatCode="General"/>
      <fill>
        <patternFill patternType="none">
          <fgColor theme="4" tint="0.79998168889431442"/>
          <bgColor auto="1"/>
        </patternFill>
      </fill>
      <border diagonalUp="0" diagonalDown="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theme="4" tint="0.79998168889431442"/>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strike val="0"/>
        <outline val="0"/>
        <shadow val="0"/>
        <vertAlign val="baseline"/>
        <name val="Garamond"/>
        <scheme val="none"/>
      </font>
      <numFmt numFmtId="0" formatCode="General"/>
    </dxf>
    <dxf>
      <font>
        <strike val="0"/>
        <outline val="0"/>
        <shadow val="0"/>
        <vertAlign val="baseline"/>
        <name val="Garamond"/>
        <scheme val="none"/>
      </font>
    </dxf>
    <dxf>
      <font>
        <strike val="0"/>
        <outline val="0"/>
        <shadow val="0"/>
        <vertAlign val="baseline"/>
        <name val="Garamond"/>
        <scheme val="none"/>
      </font>
      <numFmt numFmtId="0" formatCode="General"/>
      <fill>
        <patternFill patternType="none">
          <fgColor indexed="64"/>
          <bgColor auto="1"/>
        </patternFill>
      </fill>
    </dxf>
    <dxf>
      <border outline="0">
        <top style="thin">
          <color theme="4" tint="0.39997558519241921"/>
        </top>
      </border>
    </dxf>
    <dxf>
      <font>
        <strike val="0"/>
        <outline val="0"/>
        <shadow val="0"/>
        <vertAlign val="baseline"/>
        <name val="Garamond"/>
        <scheme val="none"/>
      </font>
    </dxf>
    <dxf>
      <font>
        <b/>
        <i val="0"/>
        <strike val="0"/>
        <condense val="0"/>
        <extend val="0"/>
        <outline val="0"/>
        <shadow val="0"/>
        <u val="none"/>
        <vertAlign val="baseline"/>
        <sz val="11"/>
        <color theme="0"/>
        <name val="Garamond"/>
        <scheme val="none"/>
      </font>
      <fill>
        <patternFill patternType="solid">
          <fgColor indexed="64"/>
          <bgColor rgb="FF940027"/>
        </patternFill>
      </fill>
    </dxf>
    <dxf>
      <font>
        <b val="0"/>
        <i val="0"/>
        <strike val="0"/>
        <condense val="0"/>
        <extend val="0"/>
        <outline val="0"/>
        <shadow val="0"/>
        <u val="none"/>
        <vertAlign val="baseline"/>
        <sz val="9"/>
        <color theme="1"/>
        <name val="Garamond"/>
        <scheme val="none"/>
      </font>
    </dxf>
    <dxf>
      <font>
        <strike val="0"/>
        <outline val="0"/>
        <shadow val="0"/>
        <vertAlign val="baseline"/>
        <name val="Garamond"/>
        <scheme val="none"/>
      </font>
    </dxf>
    <dxf>
      <font>
        <strike val="0"/>
        <outline val="0"/>
        <shadow val="0"/>
        <vertAlign val="baseline"/>
        <name val="Garamond"/>
        <scheme val="none"/>
      </font>
    </dxf>
    <dxf>
      <font>
        <strike val="0"/>
        <outline val="0"/>
        <shadow val="0"/>
        <vertAlign val="baseline"/>
        <name val="Garamond"/>
        <scheme val="none"/>
      </font>
    </dxf>
    <dxf>
      <font>
        <strike val="0"/>
        <outline val="0"/>
        <shadow val="0"/>
        <vertAlign val="baseline"/>
        <name val="Garamond"/>
        <scheme val="none"/>
      </font>
      <numFmt numFmtId="0" formatCode="General"/>
    </dxf>
    <dxf>
      <font>
        <strike val="0"/>
        <outline val="0"/>
        <shadow val="0"/>
        <vertAlign val="baseline"/>
        <name val="Garamond"/>
        <scheme val="none"/>
      </font>
    </dxf>
    <dxf>
      <font>
        <strike val="0"/>
        <outline val="0"/>
        <shadow val="0"/>
        <vertAlign val="baseline"/>
        <name val="Garamond"/>
        <scheme val="none"/>
      </font>
    </dxf>
    <dxf>
      <fill>
        <patternFill>
          <bgColor theme="9" tint="0.59996337778862885"/>
        </patternFill>
      </fill>
    </dxf>
    <dxf>
      <fill>
        <patternFill>
          <bgColor theme="9" tint="0.59996337778862885"/>
        </patternFill>
      </fill>
    </dxf>
    <dxf>
      <fill>
        <patternFill>
          <bgColor rgb="FFFF7979"/>
        </patternFill>
      </fill>
    </dxf>
    <dxf>
      <fill>
        <patternFill>
          <bgColor theme="9" tint="0.59996337778862885"/>
        </patternFill>
      </fill>
    </dxf>
    <dxf>
      <font>
        <color rgb="FFFF0000"/>
      </font>
    </dxf>
    <dxf>
      <font>
        <color rgb="FF00B050"/>
      </font>
    </dxf>
    <dxf>
      <font>
        <color rgb="FFF0EA00"/>
      </font>
      <fill>
        <patternFill patternType="none">
          <bgColor auto="1"/>
        </patternFill>
      </fill>
    </dxf>
    <dxf>
      <font>
        <color rgb="FFFF0000"/>
      </font>
    </dxf>
    <dxf>
      <font>
        <color rgb="FF00B050"/>
      </font>
    </dxf>
    <dxf>
      <font>
        <color rgb="FFF0EA00"/>
      </font>
      <fill>
        <patternFill patternType="none">
          <bgColor auto="1"/>
        </patternFill>
      </fill>
    </dxf>
    <dxf>
      <fill>
        <patternFill>
          <bgColor rgb="FF5F7F8F"/>
        </patternFill>
      </fill>
    </dxf>
    <dxf>
      <fill>
        <patternFill>
          <bgColor rgb="FF607F8F"/>
        </patternFill>
      </fill>
    </dxf>
    <dxf>
      <fill>
        <patternFill>
          <bgColor rgb="FF5F7F8F"/>
        </patternFill>
      </fill>
    </dxf>
    <dxf>
      <fill>
        <patternFill>
          <bgColor rgb="FF5F7F8F"/>
        </patternFill>
      </fill>
    </dxf>
    <dxf>
      <fill>
        <patternFill>
          <bgColor rgb="FF5F7F8F"/>
        </patternFill>
      </fill>
    </dxf>
    <dxf>
      <fill>
        <patternFill>
          <bgColor rgb="FF5F7F8F"/>
        </patternFill>
      </fill>
    </dxf>
    <dxf>
      <fill>
        <patternFill>
          <bgColor rgb="FF607F8F"/>
        </patternFill>
      </fill>
    </dxf>
    <dxf>
      <fill>
        <patternFill>
          <bgColor rgb="FF5F7F8F"/>
        </patternFill>
      </fill>
    </dxf>
    <dxf>
      <fill>
        <patternFill>
          <bgColor rgb="FF5F7F8F"/>
        </patternFill>
      </fill>
    </dxf>
    <dxf>
      <fill>
        <patternFill>
          <bgColor rgb="FF5F7F8F"/>
        </patternFill>
      </fill>
    </dxf>
    <dxf>
      <fill>
        <patternFill>
          <bgColor rgb="FF5F7F8F"/>
        </patternFill>
      </fill>
    </dxf>
    <dxf>
      <fill>
        <patternFill>
          <bgColor rgb="FF607F8F"/>
        </patternFill>
      </fill>
    </dxf>
    <dxf>
      <fill>
        <patternFill>
          <bgColor rgb="FF5F7F8F"/>
        </patternFill>
      </fill>
    </dxf>
    <dxf>
      <fill>
        <patternFill>
          <bgColor rgb="FF5F7F8F"/>
        </patternFill>
      </fill>
    </dxf>
    <dxf>
      <fill>
        <patternFill>
          <bgColor rgb="FF5F7F8F"/>
        </patternFill>
      </fill>
    </dxf>
    <dxf>
      <fill>
        <patternFill>
          <bgColor rgb="FF5F7F8F"/>
        </patternFill>
      </fill>
    </dxf>
    <dxf>
      <fill>
        <patternFill>
          <bgColor rgb="FF5F7F8F"/>
        </patternFill>
      </fill>
    </dxf>
    <dxf>
      <fill>
        <patternFill>
          <bgColor rgb="FF607F8F"/>
        </patternFill>
      </fill>
    </dxf>
    <dxf>
      <fill>
        <patternFill>
          <bgColor rgb="FF5F7F8F"/>
        </patternFill>
      </fill>
    </dxf>
    <dxf>
      <fill>
        <patternFill>
          <bgColor rgb="FF5F7F8F"/>
        </patternFill>
      </fill>
    </dxf>
    <dxf>
      <fill>
        <patternFill>
          <bgColor rgb="FF5F7F8F"/>
        </patternFill>
      </fill>
    </dxf>
    <dxf>
      <fill>
        <patternFill>
          <bgColor rgb="FF5F7F8F"/>
        </patternFill>
      </fill>
    </dxf>
    <dxf>
      <fill>
        <patternFill>
          <bgColor rgb="FF607F8F"/>
        </patternFill>
      </fill>
    </dxf>
    <dxf>
      <fill>
        <patternFill>
          <bgColor rgb="FF5F7F8F"/>
        </patternFill>
      </fill>
    </dxf>
    <dxf>
      <fill>
        <patternFill>
          <bgColor rgb="FF5F7F8F"/>
        </patternFill>
      </fill>
    </dxf>
    <dxf>
      <fill>
        <patternFill>
          <bgColor rgb="FF5F7F8F"/>
        </patternFill>
      </fill>
    </dxf>
    <dxf>
      <fill>
        <patternFill>
          <bgColor rgb="FF5F7F8F"/>
        </patternFill>
      </fill>
    </dxf>
    <dxf>
      <fill>
        <patternFill>
          <bgColor rgb="FF607F8F"/>
        </patternFill>
      </fill>
    </dxf>
    <dxf>
      <fill>
        <patternFill>
          <bgColor rgb="FF5F7F8F"/>
        </patternFill>
      </fill>
    </dxf>
    <dxf>
      <fill>
        <patternFill>
          <bgColor rgb="FF5F7F8F"/>
        </patternFill>
      </fill>
    </dxf>
    <dxf>
      <fill>
        <patternFill>
          <bgColor rgb="FF5F7F8F"/>
        </patternFill>
      </fill>
    </dxf>
    <dxf>
      <fill>
        <patternFill>
          <bgColor rgb="FF5F7F8F"/>
        </patternFill>
      </fill>
    </dxf>
    <dxf>
      <fill>
        <patternFill>
          <bgColor rgb="FF607F8F"/>
        </patternFill>
      </fill>
    </dxf>
    <dxf>
      <fill>
        <patternFill>
          <bgColor rgb="FF5F7F8F"/>
        </patternFill>
      </fill>
    </dxf>
    <dxf>
      <fill>
        <patternFill>
          <bgColor rgb="FF5F7F8F"/>
        </patternFill>
      </fill>
    </dxf>
    <dxf>
      <fill>
        <patternFill>
          <bgColor rgb="FF5F7F8F"/>
        </patternFill>
      </fill>
    </dxf>
    <dxf>
      <fill>
        <patternFill>
          <bgColor rgb="FF5F7F8F"/>
        </patternFill>
      </fill>
    </dxf>
    <dxf>
      <fill>
        <patternFill>
          <bgColor rgb="FF607F8F"/>
        </patternFill>
      </fill>
    </dxf>
    <dxf>
      <fill>
        <patternFill>
          <bgColor rgb="FF5F7F8F"/>
        </patternFill>
      </fill>
    </dxf>
    <dxf>
      <fill>
        <patternFill>
          <bgColor rgb="FF5F7F8F"/>
        </patternFill>
      </fill>
    </dxf>
    <dxf>
      <fill>
        <patternFill>
          <bgColor rgb="FF5F7F8F"/>
        </patternFill>
      </fill>
    </dxf>
    <dxf>
      <fill>
        <patternFill>
          <bgColor rgb="FF5F7F8F"/>
        </patternFill>
      </fill>
    </dxf>
    <dxf>
      <fill>
        <patternFill>
          <bgColor rgb="FF5F7F8F"/>
        </patternFill>
      </fill>
    </dxf>
    <dxf>
      <fill>
        <patternFill>
          <bgColor rgb="FF607F8F"/>
        </patternFill>
      </fill>
    </dxf>
    <dxf>
      <fill>
        <patternFill>
          <bgColor rgb="FF5F7F8F"/>
        </patternFill>
      </fill>
    </dxf>
    <dxf>
      <fill>
        <patternFill>
          <bgColor rgb="FF5F7F8F"/>
        </patternFill>
      </fill>
    </dxf>
    <dxf>
      <fill>
        <patternFill>
          <bgColor rgb="FF5F7F8F"/>
        </patternFill>
      </fill>
    </dxf>
    <dxf>
      <fill>
        <patternFill>
          <bgColor rgb="FF5F7F8F"/>
        </patternFill>
      </fill>
    </dxf>
    <dxf>
      <fill>
        <patternFill>
          <bgColor rgb="FF5F7F8F"/>
        </patternFill>
      </fill>
    </dxf>
    <dxf>
      <fill>
        <patternFill>
          <bgColor rgb="FF5F7F8F"/>
        </patternFill>
      </fill>
    </dxf>
    <dxf>
      <fill>
        <patternFill>
          <bgColor rgb="FF5F7F8F"/>
        </patternFill>
      </fill>
    </dxf>
    <dxf>
      <fill>
        <patternFill>
          <bgColor rgb="FF607F8F"/>
        </patternFill>
      </fill>
    </dxf>
    <dxf>
      <fill>
        <patternFill>
          <bgColor rgb="FF5F7F8F"/>
        </patternFill>
      </fill>
    </dxf>
    <dxf>
      <fill>
        <patternFill>
          <bgColor rgb="FF5F7F8F"/>
        </patternFill>
      </fill>
    </dxf>
    <dxf>
      <fill>
        <patternFill>
          <bgColor rgb="FF5F7F8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385723"/>
      <color rgb="FFF0EA00"/>
      <color rgb="FFEB6C15"/>
      <color rgb="FF940027"/>
      <color rgb="FFFF6161"/>
      <color rgb="FFFF7979"/>
      <color rgb="FFFF0000"/>
      <color rgb="FF5F7F8F"/>
      <color rgb="FF607F8F"/>
      <color rgb="FF5E0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57818496469377"/>
          <c:y val="0.18306178510482921"/>
          <c:w val="0.66528056192568596"/>
          <c:h val="0.58618490504640786"/>
        </c:manualLayout>
      </c:layout>
      <c:barChart>
        <c:barDir val="col"/>
        <c:grouping val="clustered"/>
        <c:varyColors val="0"/>
        <c:ser>
          <c:idx val="0"/>
          <c:order val="0"/>
          <c:tx>
            <c:v>Niveau per udsagn</c:v>
          </c:tx>
          <c:spPr>
            <a:solidFill>
              <a:srgbClr val="5F7F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S_Resultater!$H$2:$H$7</c15:sqref>
                  </c15:fullRef>
                </c:ext>
              </c:extLst>
              <c:f>S_Resultater!$H$2:$H$5</c:f>
              <c:strCache>
                <c:ptCount val="4"/>
                <c:pt idx="0">
                  <c:v>Kontekst (4.1)</c:v>
                </c:pt>
                <c:pt idx="1">
                  <c:v>Behov og forventninger (4.2)</c:v>
                </c:pt>
                <c:pt idx="2">
                  <c:v>Omfang (4.3)</c:v>
                </c:pt>
                <c:pt idx="3">
                  <c:v>Ledelsessystem (4.4)</c:v>
                </c:pt>
                <c:pt idx="4">
                  <c:v>N/A</c:v>
                </c:pt>
                <c:pt idx="5">
                  <c:v>N/A</c:v>
                </c:pt>
              </c:strCache>
            </c:strRef>
          </c:cat>
          <c:val>
            <c:numRef>
              <c:extLst>
                <c:ext xmlns:c15="http://schemas.microsoft.com/office/drawing/2012/chart" uri="{02D57815-91ED-43cb-92C2-25804820EDAC}">
                  <c15:fullRef>
                    <c15:sqref>S_Resultater!$I$2:$I$5</c15:sqref>
                  </c15:fullRef>
                </c:ext>
              </c:extLst>
              <c:f>S_Resultater!$I$2:$I$5</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0-F44F-4C9A-9AE9-36948455EFE3}"/>
            </c:ext>
          </c:extLst>
        </c:ser>
        <c:dLbls>
          <c:showLegendKey val="0"/>
          <c:showVal val="0"/>
          <c:showCatName val="0"/>
          <c:showSerName val="0"/>
          <c:showPercent val="0"/>
          <c:showBubbleSize val="0"/>
        </c:dLbls>
        <c:gapWidth val="150"/>
        <c:axId val="56816000"/>
        <c:axId val="56817536"/>
      </c:barChart>
      <c:lineChart>
        <c:grouping val="standard"/>
        <c:varyColors val="0"/>
        <c:ser>
          <c:idx val="1"/>
          <c:order val="1"/>
          <c:tx>
            <c:v>Egenvurdering af implementering</c:v>
          </c:tx>
          <c:spPr>
            <a:ln w="43180" cap="rnd">
              <a:solidFill>
                <a:srgbClr val="940027"/>
              </a:solidFill>
              <a:prstDash val="sysDot"/>
              <a:round/>
            </a:ln>
            <a:effectLst/>
          </c:spPr>
          <c:marker>
            <c:symbol val="none"/>
          </c:marker>
          <c:cat>
            <c:strRef>
              <c:extLst>
                <c:ext xmlns:c15="http://schemas.microsoft.com/office/drawing/2012/chart" uri="{02D57815-91ED-43cb-92C2-25804820EDAC}">
                  <c15:fullRef>
                    <c15:sqref>S_Resultater!$H$2:$H$7</c15:sqref>
                  </c15:fullRef>
                </c:ext>
              </c:extLst>
              <c:f>S_Resultater!$H$2:$H$5</c:f>
              <c:strCache>
                <c:ptCount val="4"/>
                <c:pt idx="0">
                  <c:v>Kontekst (4.1)</c:v>
                </c:pt>
                <c:pt idx="1">
                  <c:v>Behov og forventninger (4.2)</c:v>
                </c:pt>
                <c:pt idx="2">
                  <c:v>Omfang (4.3)</c:v>
                </c:pt>
                <c:pt idx="3">
                  <c:v>Ledelsessystem (4.4)</c:v>
                </c:pt>
              </c:strCache>
            </c:strRef>
          </c:cat>
          <c:val>
            <c:numRef>
              <c:extLst>
                <c:ext xmlns:c15="http://schemas.microsoft.com/office/drawing/2012/chart" uri="{02D57815-91ED-43cb-92C2-25804820EDAC}">
                  <c15:fullRef>
                    <c15:sqref>S_Resultater!$K$2:$K$7</c15:sqref>
                  </c15:fullRef>
                </c:ext>
              </c:extLst>
              <c:f>S_Resultater!$K$2:$K$5</c:f>
              <c:numCache>
                <c:formatCode>General</c:formatCode>
                <c:ptCount val="4"/>
                <c:pt idx="0">
                  <c:v>#N/A</c:v>
                </c:pt>
                <c:pt idx="1">
                  <c:v>#N/A</c:v>
                </c:pt>
                <c:pt idx="2">
                  <c:v>#N/A</c:v>
                </c:pt>
                <c:pt idx="3">
                  <c:v>#N/A</c:v>
                </c:pt>
              </c:numCache>
            </c:numRef>
          </c:val>
          <c:smooth val="0"/>
          <c:extLst xmlns:c15="http://schemas.microsoft.com/office/drawing/2012/chart">
            <c:ext xmlns:c16="http://schemas.microsoft.com/office/drawing/2014/chart" uri="{C3380CC4-5D6E-409C-BE32-E72D297353CC}">
              <c16:uniqueId val="{00000001-F44F-4C9A-9AE9-36948455EFE3}"/>
            </c:ext>
          </c:extLst>
        </c:ser>
        <c:dLbls>
          <c:showLegendKey val="0"/>
          <c:showVal val="0"/>
          <c:showCatName val="0"/>
          <c:showSerName val="0"/>
          <c:showPercent val="0"/>
          <c:showBubbleSize val="0"/>
        </c:dLbls>
        <c:marker val="1"/>
        <c:smooth val="0"/>
        <c:axId val="56816000"/>
        <c:axId val="56817536"/>
        <c:extLst/>
      </c:lineChart>
      <c:catAx>
        <c:axId val="5681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da-DK"/>
          </a:p>
        </c:txPr>
        <c:crossAx val="56817536"/>
        <c:crosses val="autoZero"/>
        <c:auto val="1"/>
        <c:lblAlgn val="ctr"/>
        <c:lblOffset val="100"/>
        <c:noMultiLvlLbl val="0"/>
      </c:catAx>
      <c:valAx>
        <c:axId val="56817536"/>
        <c:scaling>
          <c:orientation val="minMax"/>
          <c:max val="5"/>
        </c:scaling>
        <c:delete val="1"/>
        <c:axPos val="l"/>
        <c:numFmt formatCode="General" sourceLinked="1"/>
        <c:majorTickMark val="none"/>
        <c:minorTickMark val="none"/>
        <c:tickLblPos val="nextTo"/>
        <c:crossAx val="56816000"/>
        <c:crosses val="autoZero"/>
        <c:crossBetween val="between"/>
        <c:majorUnit val="1"/>
      </c:valAx>
      <c:spPr>
        <a:noFill/>
        <a:ln>
          <a:noFill/>
        </a:ln>
        <a:effectLst/>
      </c:spPr>
    </c:plotArea>
    <c:legend>
      <c:legendPos val="t"/>
      <c:layout>
        <c:manualLayout>
          <c:xMode val="edge"/>
          <c:yMode val="edge"/>
          <c:x val="0.12505674161863789"/>
          <c:y val="2.270929314697143E-2"/>
          <c:w val="0.85813085477717344"/>
          <c:h val="8.097201676917616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a-DK"/>
        </a:p>
      </c:txPr>
    </c:legend>
    <c:plotVisOnly val="1"/>
    <c:dispBlanksAs val="gap"/>
    <c:showDLblsOverMax val="0"/>
  </c:chart>
  <c:spPr>
    <a:no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sz="1400" b="1">
                <a:solidFill>
                  <a:sysClr val="windowText" lastClr="000000"/>
                </a:solidFill>
                <a:latin typeface="+mj-lt"/>
              </a:rPr>
              <a:t>Modenhedsniveau fordelt på spørgeområder</a:t>
            </a:r>
          </a:p>
        </c:rich>
      </c:tx>
      <c:layout>
        <c:manualLayout>
          <c:xMode val="edge"/>
          <c:yMode val="edge"/>
          <c:x val="0.38856022778403615"/>
          <c:y val="3.33129944487758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2226430233544076"/>
          <c:y val="0.16334201747299268"/>
          <c:w val="0.79897544043029822"/>
          <c:h val="0.4924977136115864"/>
        </c:manualLayout>
      </c:layout>
      <c:barChart>
        <c:barDir val="col"/>
        <c:grouping val="stacked"/>
        <c:varyColors val="0"/>
        <c:ser>
          <c:idx val="0"/>
          <c:order val="0"/>
          <c:tx>
            <c:strRef>
              <c:f>S_Lookupsheet!$BL$1</c:f>
              <c:strCache>
                <c:ptCount val="1"/>
                <c:pt idx="0">
                  <c:v>Egenvurdering af implementering</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S_Lookupsheet!$BA$2:$BA$10</c:f>
              <c:strCache>
                <c:ptCount val="9"/>
                <c:pt idx="0">
                  <c:v>Organisationens kontekst</c:v>
                </c:pt>
                <c:pt idx="1">
                  <c:v>Lederskab</c:v>
                </c:pt>
                <c:pt idx="2">
                  <c:v>Planlægning</c:v>
                </c:pt>
                <c:pt idx="3">
                  <c:v>Support</c:v>
                </c:pt>
                <c:pt idx="4">
                  <c:v>Drift </c:v>
                </c:pt>
                <c:pt idx="5">
                  <c:v>Evaluering</c:v>
                </c:pt>
                <c:pt idx="6">
                  <c:v>Løbende forbedringer</c:v>
                </c:pt>
                <c:pt idx="7">
                  <c:v>Leverandørstyring</c:v>
                </c:pt>
                <c:pt idx="8">
                  <c:v>Beredskabsplaner</c:v>
                </c:pt>
              </c:strCache>
            </c:strRef>
          </c:cat>
          <c:val>
            <c:numRef>
              <c:f>S_Lookupsheet!$BL$2:$BL$10</c:f>
              <c:numCache>
                <c:formatCode>General</c:formatCode>
                <c:ptCount val="9"/>
                <c:pt idx="0">
                  <c:v>#N/A</c:v>
                </c:pt>
                <c:pt idx="1">
                  <c:v>#N/A</c:v>
                </c:pt>
                <c:pt idx="2">
                  <c:v>#N/A</c:v>
                </c:pt>
                <c:pt idx="3">
                  <c:v>#N/A</c:v>
                </c:pt>
                <c:pt idx="4">
                  <c:v>#N/A</c:v>
                </c:pt>
                <c:pt idx="5">
                  <c:v>#N/A</c:v>
                </c:pt>
                <c:pt idx="6">
                  <c:v>#N/A</c:v>
                </c:pt>
                <c:pt idx="7">
                  <c:v>#N/A</c:v>
                </c:pt>
                <c:pt idx="8">
                  <c:v>#N/A</c:v>
                </c:pt>
              </c:numCache>
            </c:numRef>
          </c:val>
          <c:extLst>
            <c:ext xmlns:c16="http://schemas.microsoft.com/office/drawing/2014/chart" uri="{C3380CC4-5D6E-409C-BE32-E72D297353CC}">
              <c16:uniqueId val="{00000004-7FB1-4DCA-ADC0-E62C01BA78E0}"/>
            </c:ext>
          </c:extLst>
        </c:ser>
        <c:dLbls>
          <c:showLegendKey val="0"/>
          <c:showVal val="0"/>
          <c:showCatName val="0"/>
          <c:showSerName val="0"/>
          <c:showPercent val="0"/>
          <c:showBubbleSize val="0"/>
        </c:dLbls>
        <c:gapWidth val="219"/>
        <c:overlap val="100"/>
        <c:axId val="509841320"/>
        <c:axId val="509841648"/>
      </c:barChart>
      <c:lineChart>
        <c:grouping val="standard"/>
        <c:varyColors val="0"/>
        <c:ser>
          <c:idx val="1"/>
          <c:order val="1"/>
          <c:tx>
            <c:strRef>
              <c:f>S_Lookupsheet!$BM$1</c:f>
              <c:strCache>
                <c:ptCount val="1"/>
                <c:pt idx="0">
                  <c:v>Ønsket modenhedsniveau</c:v>
                </c:pt>
              </c:strCache>
            </c:strRef>
          </c:tx>
          <c:spPr>
            <a:ln w="28575" cap="rnd">
              <a:solidFill>
                <a:srgbClr val="00B050"/>
              </a:solidFill>
              <a:prstDash val="sysDash"/>
              <a:round/>
            </a:ln>
            <a:effectLst/>
          </c:spPr>
          <c:marker>
            <c:symbol val="none"/>
          </c:marker>
          <c:val>
            <c:numRef>
              <c:f>S_Lookupsheet!$BM$2:$BM$10</c:f>
              <c:numCache>
                <c:formatCode>General</c:formatCode>
                <c:ptCount val="9"/>
                <c:pt idx="0">
                  <c:v>4</c:v>
                </c:pt>
                <c:pt idx="1">
                  <c:v>4</c:v>
                </c:pt>
                <c:pt idx="2">
                  <c:v>4</c:v>
                </c:pt>
                <c:pt idx="3">
                  <c:v>4</c:v>
                </c:pt>
                <c:pt idx="4">
                  <c:v>4</c:v>
                </c:pt>
                <c:pt idx="5">
                  <c:v>4</c:v>
                </c:pt>
                <c:pt idx="6">
                  <c:v>4</c:v>
                </c:pt>
                <c:pt idx="7">
                  <c:v>4</c:v>
                </c:pt>
                <c:pt idx="8">
                  <c:v>4</c:v>
                </c:pt>
              </c:numCache>
            </c:numRef>
          </c:val>
          <c:smooth val="0"/>
          <c:extLst>
            <c:ext xmlns:c16="http://schemas.microsoft.com/office/drawing/2014/chart" uri="{C3380CC4-5D6E-409C-BE32-E72D297353CC}">
              <c16:uniqueId val="{00000000-2C70-4047-8413-734C5E0B3319}"/>
            </c:ext>
          </c:extLst>
        </c:ser>
        <c:dLbls>
          <c:showLegendKey val="0"/>
          <c:showVal val="0"/>
          <c:showCatName val="0"/>
          <c:showSerName val="0"/>
          <c:showPercent val="0"/>
          <c:showBubbleSize val="0"/>
        </c:dLbls>
        <c:marker val="1"/>
        <c:smooth val="0"/>
        <c:axId val="509841320"/>
        <c:axId val="509841648"/>
      </c:lineChart>
      <c:catAx>
        <c:axId val="509841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a-DK"/>
          </a:p>
        </c:txPr>
        <c:crossAx val="509841648"/>
        <c:crosses val="autoZero"/>
        <c:auto val="1"/>
        <c:lblAlgn val="ctr"/>
        <c:lblOffset val="100"/>
        <c:noMultiLvlLbl val="0"/>
      </c:catAx>
      <c:valAx>
        <c:axId val="509841648"/>
        <c:scaling>
          <c:orientation val="minMax"/>
          <c:max val="5"/>
        </c:scaling>
        <c:delete val="1"/>
        <c:axPos val="l"/>
        <c:numFmt formatCode="General" sourceLinked="1"/>
        <c:majorTickMark val="none"/>
        <c:minorTickMark val="none"/>
        <c:tickLblPos val="nextTo"/>
        <c:crossAx val="509841320"/>
        <c:crosses val="autoZero"/>
        <c:crossBetween val="between"/>
        <c:majorUnit val="1"/>
      </c:valAx>
      <c:spPr>
        <a:noFill/>
        <a:ln>
          <a:noFill/>
        </a:ln>
        <a:effectLst/>
      </c:spPr>
    </c:plotArea>
    <c:legend>
      <c:legendPos val="r"/>
      <c:layout>
        <c:manualLayout>
          <c:xMode val="edge"/>
          <c:yMode val="edge"/>
          <c:x val="0.2308700355758232"/>
          <c:y val="0.7931619524667618"/>
          <c:w val="0.55089252411329481"/>
          <c:h val="0.10508221913372494"/>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no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57818496469377"/>
          <c:y val="0.18306178510482921"/>
          <c:w val="0.66528056192568596"/>
          <c:h val="0.58618490504640786"/>
        </c:manualLayout>
      </c:layout>
      <c:barChart>
        <c:barDir val="col"/>
        <c:grouping val="clustered"/>
        <c:varyColors val="0"/>
        <c:ser>
          <c:idx val="0"/>
          <c:order val="0"/>
          <c:tx>
            <c:v>Niveau per kvalitetsstyringsprincip</c:v>
          </c:tx>
          <c:spPr>
            <a:solidFill>
              <a:srgbClr val="5F7F8F"/>
            </a:solidFill>
            <a:ln>
              <a:noFill/>
            </a:ln>
            <a:effectLst/>
          </c:spPr>
          <c:invertIfNegative val="0"/>
          <c:cat>
            <c:strRef>
              <c:f>S_Resultater!$H$2:$H$61</c:f>
              <c:strCache>
                <c:ptCount val="60"/>
                <c:pt idx="0">
                  <c:v>Kontekst (4.1)</c:v>
                </c:pt>
                <c:pt idx="1">
                  <c:v>Behov og forventninger (4.2)</c:v>
                </c:pt>
                <c:pt idx="2">
                  <c:v>Omfang (4.3)</c:v>
                </c:pt>
                <c:pt idx="3">
                  <c:v>Ledelsessystem (4.4)</c:v>
                </c:pt>
                <c:pt idx="4">
                  <c:v>N/A</c:v>
                </c:pt>
                <c:pt idx="5">
                  <c:v>N/A</c:v>
                </c:pt>
                <c:pt idx="6">
                  <c:v>Lederskab og engagement (5.1)</c:v>
                </c:pt>
                <c:pt idx="7">
                  <c:v>Politik (5.2)</c:v>
                </c:pt>
                <c:pt idx="8">
                  <c:v>Roller og ansvar (5.3)</c:v>
                </c:pt>
                <c:pt idx="9">
                  <c:v>N/A</c:v>
                </c:pt>
                <c:pt idx="10">
                  <c:v>N/A</c:v>
                </c:pt>
                <c:pt idx="11">
                  <c:v>N/A</c:v>
                </c:pt>
                <c:pt idx="12">
                  <c:v>Handlinger - (6.1.1)</c:v>
                </c:pt>
                <c:pt idx="13">
                  <c:v>Handlinger (6.1.2)</c:v>
                </c:pt>
                <c:pt idx="14">
                  <c:v>Handlinger (6.1.3)</c:v>
                </c:pt>
                <c:pt idx="15">
                  <c:v>Handlinger (6.1.4)</c:v>
                </c:pt>
                <c:pt idx="16">
                  <c:v>Målsætninger (6.2)</c:v>
                </c:pt>
                <c:pt idx="17">
                  <c:v>Målsætninger (6.2.2)</c:v>
                </c:pt>
                <c:pt idx="18">
                  <c:v>Ressourcer (7.1)</c:v>
                </c:pt>
                <c:pt idx="19">
                  <c:v>Kompetencer (7.2)</c:v>
                </c:pt>
                <c:pt idx="20">
                  <c:v>Bevidsthed (7.3)</c:v>
                </c:pt>
                <c:pt idx="21">
                  <c:v>Kommunikation (7.4)</c:v>
                </c:pt>
                <c:pt idx="22">
                  <c:v>Dokumentation (7.5)</c:v>
                </c:pt>
                <c:pt idx="23">
                  <c:v>N/A</c:v>
                </c:pt>
                <c:pt idx="24">
                  <c:v>Planlægning og styring (8.1.1)</c:v>
                </c:pt>
                <c:pt idx="25">
                  <c:v>Planlægning og styring (8.1.2)</c:v>
                </c:pt>
                <c:pt idx="26">
                  <c:v>Planlægning og styring (8.1.3)</c:v>
                </c:pt>
                <c:pt idx="27">
                  <c:v>Vurdering af risici (8.2)</c:v>
                </c:pt>
                <c:pt idx="28">
                  <c:v>Håndtering af risici (8.3)</c:v>
                </c:pt>
                <c:pt idx="29">
                  <c:v>N/A</c:v>
                </c:pt>
                <c:pt idx="30">
                  <c:v>Overvågning, måling og evaluering (9.1)</c:v>
                </c:pt>
                <c:pt idx="31">
                  <c:v>Audits (9.2.1)</c:v>
                </c:pt>
                <c:pt idx="32">
                  <c:v>Audits (9.2.2)</c:v>
                </c:pt>
                <c:pt idx="33">
                  <c:v>Ledelsens gennemgang (9.3)</c:v>
                </c:pt>
                <c:pt idx="34">
                  <c:v>N/A</c:v>
                </c:pt>
                <c:pt idx="35">
                  <c:v>N/A</c:v>
                </c:pt>
                <c:pt idx="36">
                  <c:v>Afvigelser og korrigerende handlinger (10.1)</c:v>
                </c:pt>
                <c:pt idx="37">
                  <c:v>Løbende forbedringer (10.2)</c:v>
                </c:pt>
                <c:pt idx="38">
                  <c:v>N/A</c:v>
                </c:pt>
                <c:pt idx="39">
                  <c:v>N/A</c:v>
                </c:pt>
                <c:pt idx="40">
                  <c:v>N/A</c:v>
                </c:pt>
                <c:pt idx="41">
                  <c:v>N/A</c:v>
                </c:pt>
                <c:pt idx="42">
                  <c:v>Plan for håndtering (A.15.1.1 og A.15.1.2)</c:v>
                </c:pt>
                <c:pt idx="43">
                  <c:v>Evaluering (A.15.2.1 og A.15.2.2)</c:v>
                </c:pt>
                <c:pt idx="44">
                  <c:v>Tilsyn (A.15.2.1 og A.15.2.2)</c:v>
                </c:pt>
                <c:pt idx="45">
                  <c:v>Møder (A.15.2.1 og A.15.2.2)</c:v>
                </c:pt>
                <c:pt idx="46">
                  <c:v>N/A</c:v>
                </c:pt>
                <c:pt idx="47">
                  <c:v>N/A</c:v>
                </c:pt>
                <c:pt idx="48">
                  <c:v>Håndtering af hændelser (A.17.1.2)</c:v>
                </c:pt>
                <c:pt idx="49">
                  <c:v>Beredskabsplaner (A.17.1.2)</c:v>
                </c:pt>
                <c:pt idx="50">
                  <c:v>Afprøvning og evaluering (A.17.1.3)</c:v>
                </c:pt>
                <c:pt idx="51">
                  <c:v>Reetableringstest (A.17.1.3)</c:v>
                </c:pt>
                <c:pt idx="52">
                  <c:v>N/A</c:v>
                </c:pt>
                <c:pt idx="53">
                  <c:v>N/A</c:v>
                </c:pt>
                <c:pt idx="54">
                  <c:v>0</c:v>
                </c:pt>
                <c:pt idx="55">
                  <c:v>0</c:v>
                </c:pt>
                <c:pt idx="56">
                  <c:v>0</c:v>
                </c:pt>
                <c:pt idx="57">
                  <c:v>0</c:v>
                </c:pt>
                <c:pt idx="58">
                  <c:v>0</c:v>
                </c:pt>
                <c:pt idx="59">
                  <c:v>0</c:v>
                </c:pt>
              </c:strCache>
            </c:strRef>
          </c:cat>
          <c:val>
            <c:numRef>
              <c:f>S_Resultater!$I$2:$I$61</c:f>
              <c:numCache>
                <c:formatCode>General</c:formatCod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extLst>
            <c:ext xmlns:c16="http://schemas.microsoft.com/office/drawing/2014/chart" uri="{C3380CC4-5D6E-409C-BE32-E72D297353CC}">
              <c16:uniqueId val="{00000000-7E05-4983-8535-6F74828475FB}"/>
            </c:ext>
          </c:extLst>
        </c:ser>
        <c:dLbls>
          <c:showLegendKey val="0"/>
          <c:showVal val="0"/>
          <c:showCatName val="0"/>
          <c:showSerName val="0"/>
          <c:showPercent val="0"/>
          <c:showBubbleSize val="0"/>
        </c:dLbls>
        <c:gapWidth val="150"/>
        <c:axId val="248086528"/>
        <c:axId val="248088064"/>
      </c:barChart>
      <c:lineChart>
        <c:grouping val="standard"/>
        <c:varyColors val="0"/>
        <c:ser>
          <c:idx val="2"/>
          <c:order val="1"/>
          <c:tx>
            <c:v>Egenvurdering af implementering</c:v>
          </c:tx>
          <c:spPr>
            <a:ln w="43180" cap="rnd">
              <a:solidFill>
                <a:srgbClr val="940027"/>
              </a:solidFill>
              <a:prstDash val="sysDot"/>
              <a:round/>
            </a:ln>
            <a:effectLst/>
          </c:spPr>
          <c:marker>
            <c:symbol val="none"/>
          </c:marker>
          <c:cat>
            <c:multiLvlStrRef>
              <c:f>S_Resultater!#REF!</c:f>
            </c:multiLvlStrRef>
          </c:cat>
          <c:val>
            <c:numRef>
              <c:f>S_Resultater!$K$2:$K$61</c:f>
              <c:numCache>
                <c:formatCode>General</c:formatCod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extLst>
            <c:ext xmlns:c16="http://schemas.microsoft.com/office/drawing/2014/chart" uri="{C3380CC4-5D6E-409C-BE32-E72D297353CC}">
              <c16:uniqueId val="{00000001-7E05-4983-8535-6F74828475FB}"/>
            </c:ext>
          </c:extLst>
        </c:ser>
        <c:dLbls>
          <c:showLegendKey val="0"/>
          <c:showVal val="0"/>
          <c:showCatName val="0"/>
          <c:showSerName val="0"/>
          <c:showPercent val="0"/>
          <c:showBubbleSize val="0"/>
        </c:dLbls>
        <c:marker val="1"/>
        <c:smooth val="0"/>
        <c:axId val="248086528"/>
        <c:axId val="248088064"/>
      </c:lineChart>
      <c:catAx>
        <c:axId val="24808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a-DK"/>
          </a:p>
        </c:txPr>
        <c:crossAx val="248088064"/>
        <c:crosses val="autoZero"/>
        <c:auto val="1"/>
        <c:lblAlgn val="ctr"/>
        <c:lblOffset val="100"/>
        <c:noMultiLvlLbl val="0"/>
      </c:catAx>
      <c:valAx>
        <c:axId val="248088064"/>
        <c:scaling>
          <c:orientation val="minMax"/>
          <c:max val="5"/>
        </c:scaling>
        <c:delete val="1"/>
        <c:axPos val="l"/>
        <c:numFmt formatCode="General" sourceLinked="1"/>
        <c:majorTickMark val="none"/>
        <c:minorTickMark val="none"/>
        <c:tickLblPos val="nextTo"/>
        <c:crossAx val="248086528"/>
        <c:crosses val="autoZero"/>
        <c:crossBetween val="between"/>
        <c:majorUnit val="1"/>
      </c:valAx>
      <c:spPr>
        <a:noFill/>
        <a:ln>
          <a:noFill/>
        </a:ln>
        <a:effectLst/>
      </c:spPr>
    </c:plotArea>
    <c:legend>
      <c:legendPos val="t"/>
      <c:layout>
        <c:manualLayout>
          <c:xMode val="edge"/>
          <c:yMode val="edge"/>
          <c:x val="1.1654655900075623E-2"/>
          <c:y val="2.2709200414068417E-2"/>
          <c:w val="0.98834534409992436"/>
          <c:h val="9.08912349192685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a-DK"/>
        </a:p>
      </c:txPr>
    </c:legend>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57818496469377"/>
          <c:y val="0.18306178510482921"/>
          <c:w val="0.66528056192568596"/>
          <c:h val="0.58618490504640786"/>
        </c:manualLayout>
      </c:layout>
      <c:barChart>
        <c:barDir val="col"/>
        <c:grouping val="clustered"/>
        <c:varyColors val="0"/>
        <c:ser>
          <c:idx val="0"/>
          <c:order val="0"/>
          <c:tx>
            <c:v>Niveau per udsagn</c:v>
          </c:tx>
          <c:spPr>
            <a:solidFill>
              <a:srgbClr val="5F7F8F"/>
            </a:solidFill>
            <a:ln>
              <a:noFill/>
            </a:ln>
            <a:effectLst/>
          </c:spPr>
          <c:invertIfNegative val="0"/>
          <c:dLbls>
            <c:spPr>
              <a:noFill/>
              <a:ln>
                <a:noFill/>
              </a:ln>
              <a:effectLst/>
            </c:spPr>
            <c:txPr>
              <a:bodyPr wrap="square" lIns="38100" tIns="19050" rIns="38100" bIns="19050" anchor="ctr">
                <a:spAutoFit/>
              </a:bodyPr>
              <a:lstStyle/>
              <a:p>
                <a:pPr>
                  <a:defRPr>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S_Resultater!$H$8:$H$10</c:f>
              <c:strCache>
                <c:ptCount val="3"/>
                <c:pt idx="0">
                  <c:v>Lederskab og engagement (5.1)</c:v>
                </c:pt>
                <c:pt idx="1">
                  <c:v>Politik (5.2)</c:v>
                </c:pt>
                <c:pt idx="2">
                  <c:v>Roller og ansvar (5.3)</c:v>
                </c:pt>
              </c:strCache>
            </c:strRef>
          </c:cat>
          <c:val>
            <c:numRef>
              <c:f>S_Resultater!$I$8:$I$10</c:f>
              <c:numCache>
                <c:formatCode>General</c:formatCode>
                <c:ptCount val="3"/>
                <c:pt idx="0">
                  <c:v>#N/A</c:v>
                </c:pt>
                <c:pt idx="1">
                  <c:v>#N/A</c:v>
                </c:pt>
                <c:pt idx="2">
                  <c:v>#N/A</c:v>
                </c:pt>
              </c:numCache>
            </c:numRef>
          </c:val>
          <c:extLst>
            <c:ext xmlns:c16="http://schemas.microsoft.com/office/drawing/2014/chart" uri="{C3380CC4-5D6E-409C-BE32-E72D297353CC}">
              <c16:uniqueId val="{00000003-46C2-45A8-9C88-8CE4CDE2D8DA}"/>
            </c:ext>
          </c:extLst>
        </c:ser>
        <c:dLbls>
          <c:showLegendKey val="0"/>
          <c:showVal val="0"/>
          <c:showCatName val="0"/>
          <c:showSerName val="0"/>
          <c:showPercent val="0"/>
          <c:showBubbleSize val="0"/>
        </c:dLbls>
        <c:gapWidth val="150"/>
        <c:axId val="220424448"/>
        <c:axId val="220426240"/>
      </c:barChart>
      <c:lineChart>
        <c:grouping val="standard"/>
        <c:varyColors val="0"/>
        <c:ser>
          <c:idx val="1"/>
          <c:order val="1"/>
          <c:tx>
            <c:v>Egenvurdering af implementering</c:v>
          </c:tx>
          <c:spPr>
            <a:ln w="43180" cap="rnd">
              <a:solidFill>
                <a:srgbClr val="940027"/>
              </a:solidFill>
              <a:prstDash val="sysDot"/>
              <a:round/>
            </a:ln>
            <a:effectLst/>
          </c:spPr>
          <c:marker>
            <c:symbol val="none"/>
          </c:marker>
          <c:cat>
            <c:strRef>
              <c:f>S_Resultater!$H$8:$H$10</c:f>
              <c:strCache>
                <c:ptCount val="3"/>
                <c:pt idx="0">
                  <c:v>Lederskab og engagement (5.1)</c:v>
                </c:pt>
                <c:pt idx="1">
                  <c:v>Politik (5.2)</c:v>
                </c:pt>
                <c:pt idx="2">
                  <c:v>Roller og ansvar (5.3)</c:v>
                </c:pt>
              </c:strCache>
            </c:strRef>
          </c:cat>
          <c:val>
            <c:numRef>
              <c:f>S_Resultater!$K$8:$K$10</c:f>
              <c:numCache>
                <c:formatCode>General</c:formatCode>
                <c:ptCount val="3"/>
                <c:pt idx="0">
                  <c:v>#N/A</c:v>
                </c:pt>
                <c:pt idx="1">
                  <c:v>#N/A</c:v>
                </c:pt>
                <c:pt idx="2">
                  <c:v>#N/A</c:v>
                </c:pt>
              </c:numCache>
            </c:numRef>
          </c:val>
          <c:smooth val="0"/>
          <c:extLst xmlns:c15="http://schemas.microsoft.com/office/drawing/2012/chart">
            <c:ext xmlns:c16="http://schemas.microsoft.com/office/drawing/2014/chart" uri="{C3380CC4-5D6E-409C-BE32-E72D297353CC}">
              <c16:uniqueId val="{00000005-46C2-45A8-9C88-8CE4CDE2D8DA}"/>
            </c:ext>
          </c:extLst>
        </c:ser>
        <c:dLbls>
          <c:showLegendKey val="0"/>
          <c:showVal val="0"/>
          <c:showCatName val="0"/>
          <c:showSerName val="0"/>
          <c:showPercent val="0"/>
          <c:showBubbleSize val="0"/>
        </c:dLbls>
        <c:marker val="1"/>
        <c:smooth val="0"/>
        <c:axId val="220424448"/>
        <c:axId val="220426240"/>
        <c:extLst/>
      </c:lineChart>
      <c:catAx>
        <c:axId val="22042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220426240"/>
        <c:crosses val="autoZero"/>
        <c:auto val="1"/>
        <c:lblAlgn val="ctr"/>
        <c:lblOffset val="100"/>
        <c:noMultiLvlLbl val="0"/>
      </c:catAx>
      <c:valAx>
        <c:axId val="220426240"/>
        <c:scaling>
          <c:orientation val="minMax"/>
          <c:max val="5"/>
        </c:scaling>
        <c:delete val="1"/>
        <c:axPos val="l"/>
        <c:numFmt formatCode="General" sourceLinked="1"/>
        <c:majorTickMark val="none"/>
        <c:minorTickMark val="none"/>
        <c:tickLblPos val="nextTo"/>
        <c:crossAx val="220424448"/>
        <c:crosses val="autoZero"/>
        <c:crossBetween val="between"/>
        <c:majorUnit val="1"/>
      </c:valAx>
    </c:plotArea>
    <c:legend>
      <c:legendPos val="t"/>
      <c:layout>
        <c:manualLayout>
          <c:xMode val="edge"/>
          <c:yMode val="edge"/>
          <c:x val="0.12505674161863789"/>
          <c:y val="2.270929314697143E-2"/>
          <c:w val="0.85813085477717344"/>
          <c:h val="8.097201676917616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a-DK"/>
        </a:p>
      </c:txPr>
    </c:legend>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644627567752054"/>
          <c:y val="0.18887244293355177"/>
          <c:w val="0.66528056192568596"/>
          <c:h val="0.60073188410445233"/>
        </c:manualLayout>
      </c:layout>
      <c:barChart>
        <c:barDir val="col"/>
        <c:grouping val="clustered"/>
        <c:varyColors val="0"/>
        <c:ser>
          <c:idx val="0"/>
          <c:order val="0"/>
          <c:tx>
            <c:v>Niveau per udsagn</c:v>
          </c:tx>
          <c:spPr>
            <a:solidFill>
              <a:srgbClr val="5F7F8F"/>
            </a:solidFill>
            <a:ln>
              <a:noFill/>
            </a:ln>
            <a:effectLst/>
          </c:spPr>
          <c:invertIfNegative val="0"/>
          <c:dLbls>
            <c:spPr>
              <a:noFill/>
              <a:ln>
                <a:noFill/>
              </a:ln>
              <a:effectLst/>
            </c:spPr>
            <c:txPr>
              <a:bodyPr wrap="square" lIns="38100" tIns="19050" rIns="38100" bIns="19050" anchor="ctr">
                <a:spAutoFit/>
              </a:bodyPr>
              <a:lstStyle/>
              <a:p>
                <a:pPr>
                  <a:defRPr>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S_Resultater!$H$14:$H$19</c15:sqref>
                  </c15:fullRef>
                </c:ext>
              </c:extLst>
              <c:f>(S_Resultater!$H$14:$H$16,S_Resultater!$H$18)</c:f>
              <c:strCache>
                <c:ptCount val="4"/>
                <c:pt idx="0">
                  <c:v>Handlinger - (6.1.1)</c:v>
                </c:pt>
                <c:pt idx="1">
                  <c:v>Handlinger (6.1.2)</c:v>
                </c:pt>
                <c:pt idx="2">
                  <c:v>Handlinger (6.1.3)</c:v>
                </c:pt>
                <c:pt idx="3">
                  <c:v>Målsætninger (6.2)</c:v>
                </c:pt>
              </c:strCache>
            </c:strRef>
          </c:cat>
          <c:val>
            <c:numRef>
              <c:extLst>
                <c:ext xmlns:c15="http://schemas.microsoft.com/office/drawing/2012/chart" uri="{02D57815-91ED-43cb-92C2-25804820EDAC}">
                  <c15:fullRef>
                    <c15:sqref>S_Resultater!$I$14:$I$19</c15:sqref>
                  </c15:fullRef>
                </c:ext>
              </c:extLst>
              <c:f>(S_Resultater!$I$14:$I$16,S_Resultater!$I$18)</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0-B63E-4FFB-8D12-D546605C3FEF}"/>
            </c:ext>
          </c:extLst>
        </c:ser>
        <c:dLbls>
          <c:showLegendKey val="0"/>
          <c:showVal val="0"/>
          <c:showCatName val="0"/>
          <c:showSerName val="0"/>
          <c:showPercent val="0"/>
          <c:showBubbleSize val="0"/>
        </c:dLbls>
        <c:gapWidth val="150"/>
        <c:axId val="223084928"/>
        <c:axId val="223086464"/>
      </c:barChart>
      <c:lineChart>
        <c:grouping val="standard"/>
        <c:varyColors val="0"/>
        <c:ser>
          <c:idx val="2"/>
          <c:order val="1"/>
          <c:tx>
            <c:v>Egenvurdering af implementering</c:v>
          </c:tx>
          <c:spPr>
            <a:ln w="43180" cap="rnd">
              <a:solidFill>
                <a:srgbClr val="940027"/>
              </a:solidFill>
              <a:prstDash val="sysDot"/>
              <a:round/>
            </a:ln>
            <a:effectLst/>
          </c:spPr>
          <c:marker>
            <c:symbol val="none"/>
          </c:marker>
          <c:cat>
            <c:strRef>
              <c:extLst>
                <c:ext xmlns:c15="http://schemas.microsoft.com/office/drawing/2012/chart" uri="{02D57815-91ED-43cb-92C2-25804820EDAC}">
                  <c15:fullRef>
                    <c15:sqref>S_Resultater!$H$14:$H$19</c15:sqref>
                  </c15:fullRef>
                </c:ext>
              </c:extLst>
              <c:f>(S_Resultater!$H$14:$H$16,S_Resultater!$H$18)</c:f>
              <c:strCache>
                <c:ptCount val="4"/>
                <c:pt idx="0">
                  <c:v>Handlinger - (6.1.1)</c:v>
                </c:pt>
                <c:pt idx="1">
                  <c:v>Handlinger (6.1.2)</c:v>
                </c:pt>
                <c:pt idx="2">
                  <c:v>Handlinger (6.1.3)</c:v>
                </c:pt>
                <c:pt idx="3">
                  <c:v>Målsætninger (6.2)</c:v>
                </c:pt>
              </c:strCache>
            </c:strRef>
          </c:cat>
          <c:val>
            <c:numRef>
              <c:extLst>
                <c:ext xmlns:c15="http://schemas.microsoft.com/office/drawing/2012/chart" uri="{02D57815-91ED-43cb-92C2-25804820EDAC}">
                  <c15:fullRef>
                    <c15:sqref>S_Resultater!$K$14:$K$19</c15:sqref>
                  </c15:fullRef>
                </c:ext>
              </c:extLst>
              <c:f>(S_Resultater!$K$14:$K$16,S_Resultater!$K$18)</c:f>
              <c:numCache>
                <c:formatCode>General</c:formatCode>
                <c:ptCount val="4"/>
                <c:pt idx="0">
                  <c:v>#N/A</c:v>
                </c:pt>
                <c:pt idx="1">
                  <c:v>#N/A</c:v>
                </c:pt>
                <c:pt idx="2">
                  <c:v>#N/A</c:v>
                </c:pt>
                <c:pt idx="3">
                  <c:v>#N/A</c:v>
                </c:pt>
              </c:numCache>
            </c:numRef>
          </c:val>
          <c:smooth val="0"/>
          <c:extLst xmlns:c15="http://schemas.microsoft.com/office/drawing/2012/chart">
            <c:ext xmlns:c16="http://schemas.microsoft.com/office/drawing/2014/chart" uri="{C3380CC4-5D6E-409C-BE32-E72D297353CC}">
              <c16:uniqueId val="{00000001-B63E-4FFB-8D12-D546605C3FEF}"/>
            </c:ext>
          </c:extLst>
        </c:ser>
        <c:dLbls>
          <c:showLegendKey val="0"/>
          <c:showVal val="0"/>
          <c:showCatName val="0"/>
          <c:showSerName val="0"/>
          <c:showPercent val="0"/>
          <c:showBubbleSize val="0"/>
        </c:dLbls>
        <c:marker val="1"/>
        <c:smooth val="0"/>
        <c:axId val="223084928"/>
        <c:axId val="223086464"/>
        <c:extLst/>
      </c:lineChart>
      <c:catAx>
        <c:axId val="22308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223086464"/>
        <c:crosses val="autoZero"/>
        <c:auto val="1"/>
        <c:lblAlgn val="ctr"/>
        <c:lblOffset val="100"/>
        <c:noMultiLvlLbl val="0"/>
      </c:catAx>
      <c:valAx>
        <c:axId val="223086464"/>
        <c:scaling>
          <c:orientation val="minMax"/>
          <c:max val="5"/>
        </c:scaling>
        <c:delete val="1"/>
        <c:axPos val="l"/>
        <c:numFmt formatCode="General" sourceLinked="1"/>
        <c:majorTickMark val="none"/>
        <c:minorTickMark val="none"/>
        <c:tickLblPos val="nextTo"/>
        <c:crossAx val="223084928"/>
        <c:crosses val="autoZero"/>
        <c:crossBetween val="between"/>
        <c:majorUnit val="1"/>
      </c:valAx>
    </c:plotArea>
    <c:legend>
      <c:legendPos val="t"/>
      <c:layout>
        <c:manualLayout>
          <c:xMode val="edge"/>
          <c:yMode val="edge"/>
          <c:x val="1.1654655900075623E-2"/>
          <c:y val="2.2709200414068417E-2"/>
          <c:w val="0.90656314644863623"/>
          <c:h val="9.08912349192685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a-DK"/>
        </a:p>
      </c:txPr>
    </c:legend>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57818496469377"/>
          <c:y val="0.18306178510482921"/>
          <c:w val="0.66528056192568596"/>
          <c:h val="0.61226816512425764"/>
        </c:manualLayout>
      </c:layout>
      <c:barChart>
        <c:barDir val="col"/>
        <c:grouping val="clustered"/>
        <c:varyColors val="0"/>
        <c:ser>
          <c:idx val="0"/>
          <c:order val="0"/>
          <c:tx>
            <c:v>Niveau per udsagn</c:v>
          </c:tx>
          <c:spPr>
            <a:solidFill>
              <a:srgbClr val="5F7F8F"/>
            </a:solidFill>
            <a:ln>
              <a:noFill/>
            </a:ln>
            <a:effectLst/>
          </c:spPr>
          <c:invertIfNegative val="0"/>
          <c:dLbls>
            <c:spPr>
              <a:noFill/>
              <a:ln>
                <a:noFill/>
              </a:ln>
              <a:effectLst/>
            </c:spPr>
            <c:txPr>
              <a:bodyPr wrap="square" lIns="38100" tIns="19050" rIns="38100" bIns="19050" anchor="ctr">
                <a:spAutoFit/>
              </a:bodyPr>
              <a:lstStyle/>
              <a:p>
                <a:pPr>
                  <a:defRPr>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S_Resultater!$H$20:$H$25</c15:sqref>
                  </c15:fullRef>
                </c:ext>
              </c:extLst>
              <c:f>S_Resultater!$H$20:$H$24</c:f>
              <c:strCache>
                <c:ptCount val="5"/>
                <c:pt idx="0">
                  <c:v>Ressourcer (7.1)</c:v>
                </c:pt>
                <c:pt idx="1">
                  <c:v>Kompetencer (7.2)</c:v>
                </c:pt>
                <c:pt idx="2">
                  <c:v>Bevidsthed (7.3)</c:v>
                </c:pt>
                <c:pt idx="3">
                  <c:v>Kommunikation (7.4)</c:v>
                </c:pt>
                <c:pt idx="4">
                  <c:v>Dokumentation (7.5)</c:v>
                </c:pt>
                <c:pt idx="5">
                  <c:v>N/A</c:v>
                </c:pt>
              </c:strCache>
            </c:strRef>
          </c:cat>
          <c:val>
            <c:numRef>
              <c:extLst>
                <c:ext xmlns:c15="http://schemas.microsoft.com/office/drawing/2012/chart" uri="{02D57815-91ED-43cb-92C2-25804820EDAC}">
                  <c15:fullRef>
                    <c15:sqref>S_Resultater!$I$20:$I$24</c15:sqref>
                  </c15:fullRef>
                </c:ext>
              </c:extLst>
              <c:f>S_Resultater!$I$20:$I$24</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0-2A22-46EC-9EE5-B809784BB6FD}"/>
            </c:ext>
          </c:extLst>
        </c:ser>
        <c:dLbls>
          <c:showLegendKey val="0"/>
          <c:showVal val="0"/>
          <c:showCatName val="0"/>
          <c:showSerName val="0"/>
          <c:showPercent val="0"/>
          <c:showBubbleSize val="0"/>
        </c:dLbls>
        <c:gapWidth val="150"/>
        <c:axId val="223119616"/>
        <c:axId val="223121408"/>
      </c:barChart>
      <c:lineChart>
        <c:grouping val="standard"/>
        <c:varyColors val="0"/>
        <c:ser>
          <c:idx val="2"/>
          <c:order val="1"/>
          <c:tx>
            <c:v>Egenvurdering af implementering</c:v>
          </c:tx>
          <c:spPr>
            <a:ln w="43180" cap="rnd">
              <a:solidFill>
                <a:srgbClr val="940027"/>
              </a:solidFill>
              <a:prstDash val="sysDot"/>
              <a:round/>
            </a:ln>
            <a:effectLst/>
          </c:spPr>
          <c:marker>
            <c:symbol val="none"/>
          </c:marker>
          <c:cat>
            <c:strRef>
              <c:extLst>
                <c:ext xmlns:c15="http://schemas.microsoft.com/office/drawing/2012/chart" uri="{02D57815-91ED-43cb-92C2-25804820EDAC}">
                  <c15:fullRef>
                    <c15:sqref>S_Resultater!$H$20:$H$24</c15:sqref>
                  </c15:fullRef>
                </c:ext>
              </c:extLst>
              <c:f>S_Resultater!$H$20:$H$24</c:f>
              <c:strCache>
                <c:ptCount val="5"/>
                <c:pt idx="0">
                  <c:v>Ressourcer (7.1)</c:v>
                </c:pt>
                <c:pt idx="1">
                  <c:v>Kompetencer (7.2)</c:v>
                </c:pt>
                <c:pt idx="2">
                  <c:v>Bevidsthed (7.3)</c:v>
                </c:pt>
                <c:pt idx="3">
                  <c:v>Kommunikation (7.4)</c:v>
                </c:pt>
                <c:pt idx="4">
                  <c:v>Dokumentation (7.5)</c:v>
                </c:pt>
              </c:strCache>
            </c:strRef>
          </c:cat>
          <c:val>
            <c:numRef>
              <c:extLst>
                <c:ext xmlns:c15="http://schemas.microsoft.com/office/drawing/2012/chart" uri="{02D57815-91ED-43cb-92C2-25804820EDAC}">
                  <c15:fullRef>
                    <c15:sqref>S_Resultater!$K$20:$K$25</c15:sqref>
                  </c15:fullRef>
                </c:ext>
              </c:extLst>
              <c:f>S_Resultater!$K$20:$K$24</c:f>
              <c:numCache>
                <c:formatCode>General</c:formatCode>
                <c:ptCount val="5"/>
                <c:pt idx="0">
                  <c:v>#N/A</c:v>
                </c:pt>
                <c:pt idx="1">
                  <c:v>#N/A</c:v>
                </c:pt>
                <c:pt idx="2">
                  <c:v>#N/A</c:v>
                </c:pt>
                <c:pt idx="3">
                  <c:v>#N/A</c:v>
                </c:pt>
                <c:pt idx="4">
                  <c:v>#N/A</c:v>
                </c:pt>
              </c:numCache>
            </c:numRef>
          </c:val>
          <c:smooth val="0"/>
          <c:extLst xmlns:c15="http://schemas.microsoft.com/office/drawing/2012/chart">
            <c:ext xmlns:c16="http://schemas.microsoft.com/office/drawing/2014/chart" uri="{C3380CC4-5D6E-409C-BE32-E72D297353CC}">
              <c16:uniqueId val="{00000001-2A22-46EC-9EE5-B809784BB6FD}"/>
            </c:ext>
          </c:extLst>
        </c:ser>
        <c:dLbls>
          <c:showLegendKey val="0"/>
          <c:showVal val="0"/>
          <c:showCatName val="0"/>
          <c:showSerName val="0"/>
          <c:showPercent val="0"/>
          <c:showBubbleSize val="0"/>
        </c:dLbls>
        <c:marker val="1"/>
        <c:smooth val="0"/>
        <c:axId val="223119616"/>
        <c:axId val="223121408"/>
        <c:extLst/>
      </c:lineChart>
      <c:catAx>
        <c:axId val="223119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223121408"/>
        <c:crosses val="autoZero"/>
        <c:auto val="1"/>
        <c:lblAlgn val="ctr"/>
        <c:lblOffset val="100"/>
        <c:noMultiLvlLbl val="0"/>
      </c:catAx>
      <c:valAx>
        <c:axId val="223121408"/>
        <c:scaling>
          <c:orientation val="minMax"/>
          <c:max val="5"/>
        </c:scaling>
        <c:delete val="1"/>
        <c:axPos val="l"/>
        <c:numFmt formatCode="General" sourceLinked="1"/>
        <c:majorTickMark val="none"/>
        <c:minorTickMark val="none"/>
        <c:tickLblPos val="nextTo"/>
        <c:crossAx val="223119616"/>
        <c:crosses val="autoZero"/>
        <c:crossBetween val="between"/>
        <c:majorUnit val="1"/>
      </c:valAx>
    </c:plotArea>
    <c:legend>
      <c:legendPos val="t"/>
      <c:layout>
        <c:manualLayout>
          <c:xMode val="edge"/>
          <c:yMode val="edge"/>
          <c:x val="1.1654655900075623E-2"/>
          <c:y val="2.2709200414068417E-2"/>
          <c:w val="0.98834534409992436"/>
          <c:h val="9.08912349192685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a-DK"/>
        </a:p>
      </c:txPr>
    </c:legend>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57818496469377"/>
          <c:y val="0.18306178510482921"/>
          <c:w val="0.66528056192568596"/>
          <c:h val="0.49371223810283366"/>
        </c:manualLayout>
      </c:layout>
      <c:barChart>
        <c:barDir val="col"/>
        <c:grouping val="clustered"/>
        <c:varyColors val="0"/>
        <c:ser>
          <c:idx val="0"/>
          <c:order val="0"/>
          <c:tx>
            <c:v>Niveau per udsagn</c:v>
          </c:tx>
          <c:spPr>
            <a:solidFill>
              <a:srgbClr val="5F7F8F"/>
            </a:solidFill>
            <a:ln>
              <a:noFill/>
            </a:ln>
            <a:effectLst/>
          </c:spPr>
          <c:invertIfNegative val="0"/>
          <c:dLbls>
            <c:spPr>
              <a:noFill/>
              <a:ln>
                <a:noFill/>
              </a:ln>
              <a:effectLst/>
            </c:spPr>
            <c:txPr>
              <a:bodyPr wrap="square" lIns="38100" tIns="19050" rIns="38100" bIns="19050" anchor="ctr">
                <a:spAutoFit/>
              </a:bodyPr>
              <a:lstStyle/>
              <a:p>
                <a:pPr>
                  <a:defRPr>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S_Resultater!$I$26:$I$30</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0-ACB5-4354-8795-59265EF17538}"/>
            </c:ext>
          </c:extLst>
        </c:ser>
        <c:dLbls>
          <c:showLegendKey val="0"/>
          <c:showVal val="0"/>
          <c:showCatName val="0"/>
          <c:showSerName val="0"/>
          <c:showPercent val="0"/>
          <c:showBubbleSize val="0"/>
        </c:dLbls>
        <c:gapWidth val="150"/>
        <c:axId val="223154944"/>
        <c:axId val="223156480"/>
      </c:barChart>
      <c:lineChart>
        <c:grouping val="standard"/>
        <c:varyColors val="0"/>
        <c:ser>
          <c:idx val="2"/>
          <c:order val="1"/>
          <c:tx>
            <c:v>Egenvurdering af implementering</c:v>
          </c:tx>
          <c:spPr>
            <a:ln w="43180" cap="rnd">
              <a:solidFill>
                <a:srgbClr val="940027"/>
              </a:solidFill>
              <a:prstDash val="sysDot"/>
              <a:round/>
            </a:ln>
            <a:effectLst/>
          </c:spPr>
          <c:marker>
            <c:symbol val="none"/>
          </c:marker>
          <c:cat>
            <c:strRef>
              <c:f>(S_Resultater!$H$26:$H$30,S_Resultater!$H$30:$H$31)</c:f>
              <c:strCache>
                <c:ptCount val="7"/>
                <c:pt idx="0">
                  <c:v>Planlægning og styring (8.1.1)</c:v>
                </c:pt>
                <c:pt idx="1">
                  <c:v>Planlægning og styring (8.1.2)</c:v>
                </c:pt>
                <c:pt idx="2">
                  <c:v>Planlægning og styring (8.1.3)</c:v>
                </c:pt>
                <c:pt idx="3">
                  <c:v>Vurdering af risici (8.2)</c:v>
                </c:pt>
                <c:pt idx="4">
                  <c:v>Håndtering af risici (8.3)</c:v>
                </c:pt>
                <c:pt idx="5">
                  <c:v>Håndtering af risici (8.3)</c:v>
                </c:pt>
                <c:pt idx="6">
                  <c:v>N/A</c:v>
                </c:pt>
              </c:strCache>
            </c:strRef>
          </c:cat>
          <c:val>
            <c:numRef>
              <c:f>S_Resultater!$K$26:$K$30</c:f>
              <c:numCache>
                <c:formatCode>General</c:formatCode>
                <c:ptCount val="5"/>
                <c:pt idx="0">
                  <c:v>#N/A</c:v>
                </c:pt>
                <c:pt idx="1">
                  <c:v>#N/A</c:v>
                </c:pt>
                <c:pt idx="2">
                  <c:v>#N/A</c:v>
                </c:pt>
                <c:pt idx="3">
                  <c:v>#N/A</c:v>
                </c:pt>
                <c:pt idx="4">
                  <c:v>#N/A</c:v>
                </c:pt>
              </c:numCache>
            </c:numRef>
          </c:val>
          <c:smooth val="0"/>
          <c:extLst xmlns:c15="http://schemas.microsoft.com/office/drawing/2012/chart">
            <c:ext xmlns:c16="http://schemas.microsoft.com/office/drawing/2014/chart" uri="{C3380CC4-5D6E-409C-BE32-E72D297353CC}">
              <c16:uniqueId val="{00000001-ACB5-4354-8795-59265EF17538}"/>
            </c:ext>
          </c:extLst>
        </c:ser>
        <c:dLbls>
          <c:showLegendKey val="0"/>
          <c:showVal val="0"/>
          <c:showCatName val="0"/>
          <c:showSerName val="0"/>
          <c:showPercent val="0"/>
          <c:showBubbleSize val="0"/>
        </c:dLbls>
        <c:marker val="1"/>
        <c:smooth val="0"/>
        <c:axId val="223154944"/>
        <c:axId val="223156480"/>
        <c:extLst/>
      </c:lineChart>
      <c:catAx>
        <c:axId val="22315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223156480"/>
        <c:crosses val="autoZero"/>
        <c:auto val="1"/>
        <c:lblAlgn val="ctr"/>
        <c:lblOffset val="100"/>
        <c:noMultiLvlLbl val="0"/>
      </c:catAx>
      <c:valAx>
        <c:axId val="223156480"/>
        <c:scaling>
          <c:orientation val="minMax"/>
          <c:max val="5"/>
        </c:scaling>
        <c:delete val="1"/>
        <c:axPos val="l"/>
        <c:numFmt formatCode="General" sourceLinked="1"/>
        <c:majorTickMark val="none"/>
        <c:minorTickMark val="none"/>
        <c:tickLblPos val="nextTo"/>
        <c:crossAx val="223154944"/>
        <c:crosses val="autoZero"/>
        <c:crossBetween val="between"/>
        <c:majorUnit val="1"/>
      </c:valAx>
    </c:plotArea>
    <c:legend>
      <c:legendPos val="t"/>
      <c:layout>
        <c:manualLayout>
          <c:xMode val="edge"/>
          <c:yMode val="edge"/>
          <c:x val="1.1654655900075623E-2"/>
          <c:y val="2.2709200414068417E-2"/>
          <c:w val="0.98834534409992436"/>
          <c:h val="9.08912349192685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a-DK"/>
        </a:p>
      </c:txPr>
    </c:legend>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2275890123536"/>
          <c:y val="0.19183741064329457"/>
          <c:w val="0.66528056192568596"/>
          <c:h val="0.50709438731968792"/>
        </c:manualLayout>
      </c:layout>
      <c:barChart>
        <c:barDir val="col"/>
        <c:grouping val="clustered"/>
        <c:varyColors val="0"/>
        <c:ser>
          <c:idx val="0"/>
          <c:order val="0"/>
          <c:tx>
            <c:v>Niveau per udsagn</c:v>
          </c:tx>
          <c:spPr>
            <a:solidFill>
              <a:srgbClr val="5F7F8F"/>
            </a:solidFill>
            <a:ln>
              <a:noFill/>
            </a:ln>
            <a:effectLst/>
          </c:spPr>
          <c:invertIfNegative val="0"/>
          <c:dLbls>
            <c:spPr>
              <a:noFill/>
              <a:ln>
                <a:noFill/>
              </a:ln>
              <a:effectLst/>
            </c:spPr>
            <c:txPr>
              <a:bodyPr wrap="square" lIns="38100" tIns="19050" rIns="38100" bIns="19050" anchor="ctr">
                <a:spAutoFit/>
              </a:bodyPr>
              <a:lstStyle/>
              <a:p>
                <a:pPr>
                  <a:defRPr>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S_Resultater!$H$32:$H$35</c:f>
              <c:strCache>
                <c:ptCount val="4"/>
                <c:pt idx="0">
                  <c:v>Overvågning, måling og evaluering (9.1)</c:v>
                </c:pt>
                <c:pt idx="1">
                  <c:v>Audits (9.2.1)</c:v>
                </c:pt>
                <c:pt idx="2">
                  <c:v>Audits (9.2.2)</c:v>
                </c:pt>
                <c:pt idx="3">
                  <c:v>Ledelsens gennemgang (9.3)</c:v>
                </c:pt>
              </c:strCache>
            </c:strRef>
          </c:cat>
          <c:val>
            <c:numRef>
              <c:f>S_Resultater!$I$32:$I$35</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0-BC3C-4EDE-B874-46C5E4888BA6}"/>
            </c:ext>
          </c:extLst>
        </c:ser>
        <c:dLbls>
          <c:showLegendKey val="0"/>
          <c:showVal val="0"/>
          <c:showCatName val="0"/>
          <c:showSerName val="0"/>
          <c:showPercent val="0"/>
          <c:showBubbleSize val="0"/>
        </c:dLbls>
        <c:gapWidth val="150"/>
        <c:axId val="223177344"/>
        <c:axId val="223187328"/>
      </c:barChart>
      <c:lineChart>
        <c:grouping val="standard"/>
        <c:varyColors val="0"/>
        <c:ser>
          <c:idx val="2"/>
          <c:order val="1"/>
          <c:tx>
            <c:v>Egenvurdering af implementering</c:v>
          </c:tx>
          <c:spPr>
            <a:ln w="43180" cap="rnd">
              <a:solidFill>
                <a:srgbClr val="940027"/>
              </a:solidFill>
              <a:prstDash val="sysDot"/>
              <a:round/>
            </a:ln>
            <a:effectLst/>
          </c:spPr>
          <c:marker>
            <c:symbol val="none"/>
          </c:marker>
          <c:cat>
            <c:strRef>
              <c:f>S_Resultater!$H$32:$H$35</c:f>
              <c:strCache>
                <c:ptCount val="4"/>
                <c:pt idx="0">
                  <c:v>Overvågning, måling og evaluering (9.1)</c:v>
                </c:pt>
                <c:pt idx="1">
                  <c:v>Audits (9.2.1)</c:v>
                </c:pt>
                <c:pt idx="2">
                  <c:v>Audits (9.2.2)</c:v>
                </c:pt>
                <c:pt idx="3">
                  <c:v>Ledelsens gennemgang (9.3)</c:v>
                </c:pt>
              </c:strCache>
            </c:strRef>
          </c:cat>
          <c:val>
            <c:numRef>
              <c:f>S_Resultater!$K$32:$K$35</c:f>
              <c:numCache>
                <c:formatCode>General</c:formatCode>
                <c:ptCount val="4"/>
                <c:pt idx="0">
                  <c:v>#N/A</c:v>
                </c:pt>
                <c:pt idx="1">
                  <c:v>#N/A</c:v>
                </c:pt>
                <c:pt idx="2">
                  <c:v>#N/A</c:v>
                </c:pt>
                <c:pt idx="3">
                  <c:v>#N/A</c:v>
                </c:pt>
              </c:numCache>
            </c:numRef>
          </c:val>
          <c:smooth val="0"/>
          <c:extLst xmlns:c15="http://schemas.microsoft.com/office/drawing/2012/chart">
            <c:ext xmlns:c16="http://schemas.microsoft.com/office/drawing/2014/chart" uri="{C3380CC4-5D6E-409C-BE32-E72D297353CC}">
              <c16:uniqueId val="{00000001-BC3C-4EDE-B874-46C5E4888BA6}"/>
            </c:ext>
          </c:extLst>
        </c:ser>
        <c:dLbls>
          <c:showLegendKey val="0"/>
          <c:showVal val="0"/>
          <c:showCatName val="0"/>
          <c:showSerName val="0"/>
          <c:showPercent val="0"/>
          <c:showBubbleSize val="0"/>
        </c:dLbls>
        <c:marker val="1"/>
        <c:smooth val="0"/>
        <c:axId val="223177344"/>
        <c:axId val="223187328"/>
        <c:extLst/>
      </c:lineChart>
      <c:catAx>
        <c:axId val="223177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223187328"/>
        <c:crosses val="autoZero"/>
        <c:auto val="1"/>
        <c:lblAlgn val="ctr"/>
        <c:lblOffset val="100"/>
        <c:noMultiLvlLbl val="0"/>
      </c:catAx>
      <c:valAx>
        <c:axId val="223187328"/>
        <c:scaling>
          <c:orientation val="minMax"/>
          <c:max val="5"/>
        </c:scaling>
        <c:delete val="1"/>
        <c:axPos val="l"/>
        <c:numFmt formatCode="General" sourceLinked="1"/>
        <c:majorTickMark val="none"/>
        <c:minorTickMark val="none"/>
        <c:tickLblPos val="nextTo"/>
        <c:crossAx val="223177344"/>
        <c:crosses val="autoZero"/>
        <c:crossBetween val="between"/>
        <c:majorUnit val="1"/>
      </c:valAx>
    </c:plotArea>
    <c:legend>
      <c:legendPos val="t"/>
      <c:layout>
        <c:manualLayout>
          <c:xMode val="edge"/>
          <c:yMode val="edge"/>
          <c:x val="1.1654655900075623E-2"/>
          <c:y val="2.2709200414068417E-2"/>
          <c:w val="0.98834534409992436"/>
          <c:h val="9.08912349192685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a-DK"/>
        </a:p>
      </c:txPr>
    </c:legend>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57818496469377"/>
          <c:y val="0.1540522075446227"/>
          <c:w val="0.66528056192568596"/>
          <c:h val="0.46434489990915678"/>
        </c:manualLayout>
      </c:layout>
      <c:barChart>
        <c:barDir val="col"/>
        <c:grouping val="clustered"/>
        <c:varyColors val="0"/>
        <c:ser>
          <c:idx val="0"/>
          <c:order val="0"/>
          <c:tx>
            <c:v>Niveau per udsagn</c:v>
          </c:tx>
          <c:spPr>
            <a:solidFill>
              <a:srgbClr val="5F7F8F"/>
            </a:solidFill>
            <a:ln>
              <a:noFill/>
            </a:ln>
            <a:effectLst/>
          </c:spPr>
          <c:invertIfNegative val="0"/>
          <c:dLbls>
            <c:spPr>
              <a:noFill/>
              <a:ln>
                <a:noFill/>
              </a:ln>
              <a:effectLst/>
            </c:spPr>
            <c:txPr>
              <a:bodyPr wrap="square" lIns="38100" tIns="19050" rIns="38100" bIns="19050" anchor="ctr">
                <a:spAutoFit/>
              </a:bodyPr>
              <a:lstStyle/>
              <a:p>
                <a:pPr>
                  <a:defRPr>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S_Resultater!$H$38:$H$43</c:f>
              <c:strCache>
                <c:ptCount val="6"/>
                <c:pt idx="0">
                  <c:v>Afvigelser og korrigerende handlinger (10.1)</c:v>
                </c:pt>
                <c:pt idx="1">
                  <c:v>Løbende forbedringer (10.2)</c:v>
                </c:pt>
                <c:pt idx="2">
                  <c:v>N/A</c:v>
                </c:pt>
                <c:pt idx="3">
                  <c:v>N/A</c:v>
                </c:pt>
                <c:pt idx="4">
                  <c:v>N/A</c:v>
                </c:pt>
                <c:pt idx="5">
                  <c:v>N/A</c:v>
                </c:pt>
              </c:strCache>
            </c:strRef>
          </c:cat>
          <c:val>
            <c:numRef>
              <c:f>S_Resultater!$I$38:$I$39</c:f>
              <c:numCache>
                <c:formatCode>General</c:formatCode>
                <c:ptCount val="2"/>
                <c:pt idx="0">
                  <c:v>#N/A</c:v>
                </c:pt>
                <c:pt idx="1">
                  <c:v>#N/A</c:v>
                </c:pt>
              </c:numCache>
            </c:numRef>
          </c:val>
          <c:extLst>
            <c:ext xmlns:c16="http://schemas.microsoft.com/office/drawing/2014/chart" uri="{C3380CC4-5D6E-409C-BE32-E72D297353CC}">
              <c16:uniqueId val="{00000000-7348-4409-AD15-7117EDF21695}"/>
            </c:ext>
          </c:extLst>
        </c:ser>
        <c:dLbls>
          <c:showLegendKey val="0"/>
          <c:showVal val="0"/>
          <c:showCatName val="0"/>
          <c:showSerName val="0"/>
          <c:showPercent val="0"/>
          <c:showBubbleSize val="0"/>
        </c:dLbls>
        <c:gapWidth val="150"/>
        <c:axId val="223208192"/>
        <c:axId val="223209728"/>
      </c:barChart>
      <c:lineChart>
        <c:grouping val="standard"/>
        <c:varyColors val="0"/>
        <c:ser>
          <c:idx val="2"/>
          <c:order val="1"/>
          <c:tx>
            <c:v>Egenvurdering af implementering</c:v>
          </c:tx>
          <c:spPr>
            <a:ln w="43180" cap="rnd">
              <a:solidFill>
                <a:srgbClr val="940027"/>
              </a:solidFill>
              <a:prstDash val="sysDot"/>
              <a:round/>
            </a:ln>
            <a:effectLst/>
          </c:spPr>
          <c:marker>
            <c:symbol val="none"/>
          </c:marker>
          <c:cat>
            <c:strRef>
              <c:f>S_Resultater!$H$38:$H$43</c:f>
              <c:strCache>
                <c:ptCount val="6"/>
                <c:pt idx="0">
                  <c:v>Afvigelser og korrigerende handlinger (10.1)</c:v>
                </c:pt>
                <c:pt idx="1">
                  <c:v>Løbende forbedringer (10.2)</c:v>
                </c:pt>
                <c:pt idx="2">
                  <c:v>N/A</c:v>
                </c:pt>
                <c:pt idx="3">
                  <c:v>N/A</c:v>
                </c:pt>
                <c:pt idx="4">
                  <c:v>N/A</c:v>
                </c:pt>
                <c:pt idx="5">
                  <c:v>N/A</c:v>
                </c:pt>
              </c:strCache>
              <c:extLst xmlns:c15="http://schemas.microsoft.com/office/drawing/2012/chart"/>
            </c:strRef>
          </c:cat>
          <c:val>
            <c:numRef>
              <c:f>S_Resultater!$K$38:$K$39</c:f>
              <c:numCache>
                <c:formatCode>General</c:formatCode>
                <c:ptCount val="2"/>
                <c:pt idx="0">
                  <c:v>#N/A</c:v>
                </c:pt>
                <c:pt idx="1">
                  <c:v>#N/A</c:v>
                </c:pt>
              </c:numCache>
            </c:numRef>
          </c:val>
          <c:smooth val="0"/>
          <c:extLst xmlns:c15="http://schemas.microsoft.com/office/drawing/2012/chart">
            <c:ext xmlns:c16="http://schemas.microsoft.com/office/drawing/2014/chart" uri="{C3380CC4-5D6E-409C-BE32-E72D297353CC}">
              <c16:uniqueId val="{00000001-7348-4409-AD15-7117EDF21695}"/>
            </c:ext>
          </c:extLst>
        </c:ser>
        <c:dLbls>
          <c:showLegendKey val="0"/>
          <c:showVal val="0"/>
          <c:showCatName val="0"/>
          <c:showSerName val="0"/>
          <c:showPercent val="0"/>
          <c:showBubbleSize val="0"/>
        </c:dLbls>
        <c:marker val="1"/>
        <c:smooth val="0"/>
        <c:axId val="223208192"/>
        <c:axId val="223209728"/>
        <c:extLst/>
      </c:lineChart>
      <c:catAx>
        <c:axId val="223208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223209728"/>
        <c:crosses val="autoZero"/>
        <c:auto val="1"/>
        <c:lblAlgn val="ctr"/>
        <c:lblOffset val="100"/>
        <c:noMultiLvlLbl val="0"/>
      </c:catAx>
      <c:valAx>
        <c:axId val="223209728"/>
        <c:scaling>
          <c:orientation val="minMax"/>
          <c:max val="5"/>
        </c:scaling>
        <c:delete val="1"/>
        <c:axPos val="l"/>
        <c:numFmt formatCode="General" sourceLinked="1"/>
        <c:majorTickMark val="none"/>
        <c:minorTickMark val="none"/>
        <c:tickLblPos val="nextTo"/>
        <c:crossAx val="223208192"/>
        <c:crosses val="autoZero"/>
        <c:crossBetween val="between"/>
        <c:majorUnit val="1"/>
      </c:valAx>
    </c:plotArea>
    <c:legend>
      <c:legendPos val="t"/>
      <c:layout>
        <c:manualLayout>
          <c:xMode val="edge"/>
          <c:yMode val="edge"/>
          <c:x val="1.1654655900075623E-2"/>
          <c:y val="2.2709200414068417E-2"/>
          <c:w val="0.98834534409992436"/>
          <c:h val="9.08912349192685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a-DK"/>
        </a:p>
      </c:txPr>
    </c:legend>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57818496469377"/>
          <c:y val="0.18306178510482921"/>
          <c:w val="0.66528056192568596"/>
          <c:h val="0.44202310117264704"/>
        </c:manualLayout>
      </c:layout>
      <c:barChart>
        <c:barDir val="col"/>
        <c:grouping val="clustered"/>
        <c:varyColors val="0"/>
        <c:ser>
          <c:idx val="0"/>
          <c:order val="0"/>
          <c:tx>
            <c:v>Niveau per udsagn</c:v>
          </c:tx>
          <c:spPr>
            <a:solidFill>
              <a:srgbClr val="5F7F8F"/>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S_Resultater!$H$44:$H$47</c:f>
              <c:strCache>
                <c:ptCount val="4"/>
                <c:pt idx="0">
                  <c:v>Plan for håndtering (A.15.1.1 og A.15.1.2)</c:v>
                </c:pt>
                <c:pt idx="1">
                  <c:v>Evaluering (A.15.2.1 og A.15.2.2)</c:v>
                </c:pt>
                <c:pt idx="2">
                  <c:v>Tilsyn (A.15.2.1 og A.15.2.2)</c:v>
                </c:pt>
                <c:pt idx="3">
                  <c:v>Møder (A.15.2.1 og A.15.2.2)</c:v>
                </c:pt>
              </c:strCache>
            </c:strRef>
          </c:cat>
          <c:val>
            <c:numRef>
              <c:f>S_Resultater!$I$44:$I$47</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0-9C8F-4344-9FFE-CB89615BF532}"/>
            </c:ext>
          </c:extLst>
        </c:ser>
        <c:dLbls>
          <c:showLegendKey val="0"/>
          <c:showVal val="0"/>
          <c:showCatName val="0"/>
          <c:showSerName val="0"/>
          <c:showPercent val="0"/>
          <c:showBubbleSize val="0"/>
        </c:dLbls>
        <c:gapWidth val="150"/>
        <c:axId val="223208192"/>
        <c:axId val="223209728"/>
      </c:barChart>
      <c:lineChart>
        <c:grouping val="standard"/>
        <c:varyColors val="0"/>
        <c:ser>
          <c:idx val="2"/>
          <c:order val="1"/>
          <c:tx>
            <c:v>Egenvurdering af implementering</c:v>
          </c:tx>
          <c:spPr>
            <a:ln w="43180">
              <a:solidFill>
                <a:srgbClr val="940027"/>
              </a:solidFill>
              <a:prstDash val="sysDot"/>
            </a:ln>
          </c:spPr>
          <c:marker>
            <c:symbol val="none"/>
          </c:marker>
          <c:cat>
            <c:strRef>
              <c:f>S_Resultater!$H$44:$H$47</c:f>
              <c:strCache>
                <c:ptCount val="4"/>
                <c:pt idx="0">
                  <c:v>Plan for håndtering (A.15.1.1 og A.15.1.2)</c:v>
                </c:pt>
                <c:pt idx="1">
                  <c:v>Evaluering (A.15.2.1 og A.15.2.2)</c:v>
                </c:pt>
                <c:pt idx="2">
                  <c:v>Tilsyn (A.15.2.1 og A.15.2.2)</c:v>
                </c:pt>
                <c:pt idx="3">
                  <c:v>Møder (A.15.2.1 og A.15.2.2)</c:v>
                </c:pt>
              </c:strCache>
            </c:strRef>
          </c:cat>
          <c:val>
            <c:numRef>
              <c:f>S_Resultater!$K$44:$K$47</c:f>
              <c:numCache>
                <c:formatCode>General</c:formatCode>
                <c:ptCount val="4"/>
                <c:pt idx="0">
                  <c:v>#N/A</c:v>
                </c:pt>
                <c:pt idx="1">
                  <c:v>#N/A</c:v>
                </c:pt>
                <c:pt idx="2">
                  <c:v>#N/A</c:v>
                </c:pt>
                <c:pt idx="3">
                  <c:v>#N/A</c:v>
                </c:pt>
              </c:numCache>
            </c:numRef>
          </c:val>
          <c:smooth val="0"/>
          <c:extLst xmlns:c15="http://schemas.microsoft.com/office/drawing/2012/chart">
            <c:ext xmlns:c16="http://schemas.microsoft.com/office/drawing/2014/chart" uri="{C3380CC4-5D6E-409C-BE32-E72D297353CC}">
              <c16:uniqueId val="{00000001-9C8F-4344-9FFE-CB89615BF532}"/>
            </c:ext>
          </c:extLst>
        </c:ser>
        <c:dLbls>
          <c:showLegendKey val="0"/>
          <c:showVal val="0"/>
          <c:showCatName val="0"/>
          <c:showSerName val="0"/>
          <c:showPercent val="0"/>
          <c:showBubbleSize val="0"/>
        </c:dLbls>
        <c:marker val="1"/>
        <c:smooth val="0"/>
        <c:axId val="223208192"/>
        <c:axId val="223209728"/>
        <c:extLst/>
      </c:lineChart>
      <c:catAx>
        <c:axId val="223208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223209728"/>
        <c:crosses val="autoZero"/>
        <c:auto val="1"/>
        <c:lblAlgn val="ctr"/>
        <c:lblOffset val="100"/>
        <c:noMultiLvlLbl val="0"/>
      </c:catAx>
      <c:valAx>
        <c:axId val="223209728"/>
        <c:scaling>
          <c:orientation val="minMax"/>
          <c:max val="5"/>
        </c:scaling>
        <c:delete val="1"/>
        <c:axPos val="l"/>
        <c:numFmt formatCode="General" sourceLinked="1"/>
        <c:majorTickMark val="none"/>
        <c:minorTickMark val="none"/>
        <c:tickLblPos val="nextTo"/>
        <c:crossAx val="223208192"/>
        <c:crosses val="autoZero"/>
        <c:crossBetween val="between"/>
        <c:majorUnit val="1"/>
      </c:valAx>
    </c:plotArea>
    <c:legend>
      <c:legendPos val="t"/>
      <c:layout>
        <c:manualLayout>
          <c:xMode val="edge"/>
          <c:yMode val="edge"/>
          <c:x val="1.1654655900075623E-2"/>
          <c:y val="2.2709200414068417E-2"/>
          <c:w val="0.98834534409992436"/>
          <c:h val="9.08912349192685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a-DK"/>
        </a:p>
      </c:txPr>
    </c:legend>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57818496469377"/>
          <c:y val="0.18306178510482921"/>
          <c:w val="0.66528056192568596"/>
          <c:h val="0.45317761440388338"/>
        </c:manualLayout>
      </c:layout>
      <c:barChart>
        <c:barDir val="col"/>
        <c:grouping val="clustered"/>
        <c:varyColors val="0"/>
        <c:ser>
          <c:idx val="0"/>
          <c:order val="0"/>
          <c:tx>
            <c:v>Niveau per udsagn</c:v>
          </c:tx>
          <c:spPr>
            <a:solidFill>
              <a:srgbClr val="5F7F8F"/>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S_Resultater!$H$50:$H$53</c:f>
              <c:strCache>
                <c:ptCount val="4"/>
                <c:pt idx="0">
                  <c:v>Håndtering af hændelser (A.17.1.2)</c:v>
                </c:pt>
                <c:pt idx="1">
                  <c:v>Beredskabsplaner (A.17.1.2)</c:v>
                </c:pt>
                <c:pt idx="2">
                  <c:v>Afprøvning og evaluering (A.17.1.3)</c:v>
                </c:pt>
                <c:pt idx="3">
                  <c:v>Reetableringstest (A.17.1.3)</c:v>
                </c:pt>
              </c:strCache>
            </c:strRef>
          </c:cat>
          <c:val>
            <c:numRef>
              <c:f>S_Resultater!$I$50:$I$53</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0-DBD5-4134-9C99-9112D75B7759}"/>
            </c:ext>
          </c:extLst>
        </c:ser>
        <c:dLbls>
          <c:showLegendKey val="0"/>
          <c:showVal val="0"/>
          <c:showCatName val="0"/>
          <c:showSerName val="0"/>
          <c:showPercent val="0"/>
          <c:showBubbleSize val="0"/>
        </c:dLbls>
        <c:gapWidth val="150"/>
        <c:axId val="223208192"/>
        <c:axId val="223209728"/>
      </c:barChart>
      <c:lineChart>
        <c:grouping val="standard"/>
        <c:varyColors val="0"/>
        <c:ser>
          <c:idx val="2"/>
          <c:order val="1"/>
          <c:tx>
            <c:v>Egenvurdering af implementering</c:v>
          </c:tx>
          <c:spPr>
            <a:ln w="43180">
              <a:solidFill>
                <a:srgbClr val="940027"/>
              </a:solidFill>
              <a:prstDash val="sysDot"/>
            </a:ln>
          </c:spPr>
          <c:marker>
            <c:symbol val="none"/>
          </c:marker>
          <c:cat>
            <c:strRef>
              <c:f>S_Resultater!$H$50:$H$53</c:f>
              <c:strCache>
                <c:ptCount val="4"/>
                <c:pt idx="0">
                  <c:v>Håndtering af hændelser (A.17.1.2)</c:v>
                </c:pt>
                <c:pt idx="1">
                  <c:v>Beredskabsplaner (A.17.1.2)</c:v>
                </c:pt>
                <c:pt idx="2">
                  <c:v>Afprøvning og evaluering (A.17.1.3)</c:v>
                </c:pt>
                <c:pt idx="3">
                  <c:v>Reetableringstest (A.17.1.3)</c:v>
                </c:pt>
              </c:strCache>
            </c:strRef>
          </c:cat>
          <c:val>
            <c:numRef>
              <c:f>S_Resultater!$K$50:$K$53</c:f>
              <c:numCache>
                <c:formatCode>General</c:formatCode>
                <c:ptCount val="4"/>
                <c:pt idx="0">
                  <c:v>#N/A</c:v>
                </c:pt>
                <c:pt idx="1">
                  <c:v>#N/A</c:v>
                </c:pt>
                <c:pt idx="2">
                  <c:v>#N/A</c:v>
                </c:pt>
                <c:pt idx="3">
                  <c:v>#N/A</c:v>
                </c:pt>
              </c:numCache>
            </c:numRef>
          </c:val>
          <c:smooth val="0"/>
          <c:extLst xmlns:c15="http://schemas.microsoft.com/office/drawing/2012/chart">
            <c:ext xmlns:c16="http://schemas.microsoft.com/office/drawing/2014/chart" uri="{C3380CC4-5D6E-409C-BE32-E72D297353CC}">
              <c16:uniqueId val="{00000001-DBD5-4134-9C99-9112D75B7759}"/>
            </c:ext>
          </c:extLst>
        </c:ser>
        <c:dLbls>
          <c:showLegendKey val="0"/>
          <c:showVal val="0"/>
          <c:showCatName val="0"/>
          <c:showSerName val="0"/>
          <c:showPercent val="0"/>
          <c:showBubbleSize val="0"/>
        </c:dLbls>
        <c:marker val="1"/>
        <c:smooth val="0"/>
        <c:axId val="223208192"/>
        <c:axId val="223209728"/>
        <c:extLst/>
      </c:lineChart>
      <c:catAx>
        <c:axId val="223208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223209728"/>
        <c:crosses val="autoZero"/>
        <c:auto val="1"/>
        <c:lblAlgn val="ctr"/>
        <c:lblOffset val="100"/>
        <c:noMultiLvlLbl val="0"/>
      </c:catAx>
      <c:valAx>
        <c:axId val="223209728"/>
        <c:scaling>
          <c:orientation val="minMax"/>
          <c:max val="5"/>
        </c:scaling>
        <c:delete val="1"/>
        <c:axPos val="l"/>
        <c:numFmt formatCode="General" sourceLinked="1"/>
        <c:majorTickMark val="none"/>
        <c:minorTickMark val="none"/>
        <c:tickLblPos val="nextTo"/>
        <c:crossAx val="223208192"/>
        <c:crosses val="autoZero"/>
        <c:crossBetween val="between"/>
        <c:majorUnit val="1"/>
      </c:valAx>
    </c:plotArea>
    <c:legend>
      <c:legendPos val="t"/>
      <c:layout>
        <c:manualLayout>
          <c:xMode val="edge"/>
          <c:yMode val="edge"/>
          <c:x val="1.1654655900075623E-2"/>
          <c:y val="2.2709200414068417E-2"/>
          <c:w val="0.98834534409992436"/>
          <c:h val="9.08912349192685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a-DK"/>
        </a:p>
      </c:txPr>
    </c:legend>
    <c:plotVisOnly val="1"/>
    <c:dispBlanksAs val="gap"/>
    <c:showDLblsOverMax val="0"/>
  </c:chart>
  <c:spPr>
    <a:no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microsoft.com/office/2007/relationships/hdphoto" Target="../media/hdphoto2.wdp"/><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11.png"/><Relationship Id="rId2" Type="http://schemas.microsoft.com/office/2007/relationships/hdphoto" Target="../media/hdphoto3.wdp"/><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image" Target="../media/image1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276019</xdr:colOff>
      <xdr:row>0</xdr:row>
      <xdr:rowOff>0</xdr:rowOff>
    </xdr:from>
    <xdr:to>
      <xdr:col>10</xdr:col>
      <xdr:colOff>352218</xdr:colOff>
      <xdr:row>9</xdr:row>
      <xdr:rowOff>106617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tretch>
          <a:fillRect/>
        </a:stretch>
      </xdr:blipFill>
      <xdr:spPr>
        <a:xfrm>
          <a:off x="276019" y="0"/>
          <a:ext cx="6172199" cy="2104750"/>
        </a:xfrm>
        <a:prstGeom prst="rect">
          <a:avLst/>
        </a:prstGeom>
      </xdr:spPr>
    </xdr:pic>
    <xdr:clientData/>
  </xdr:twoCellAnchor>
  <xdr:twoCellAnchor>
    <xdr:from>
      <xdr:col>0</xdr:col>
      <xdr:colOff>504373</xdr:colOff>
      <xdr:row>11</xdr:row>
      <xdr:rowOff>154214</xdr:rowOff>
    </xdr:from>
    <xdr:to>
      <xdr:col>8</xdr:col>
      <xdr:colOff>541262</xdr:colOff>
      <xdr:row>20</xdr:row>
      <xdr:rowOff>217715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504373" y="2685143"/>
          <a:ext cx="4717746" cy="2240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2800" b="1">
              <a:solidFill>
                <a:schemeClr val="bg1"/>
              </a:solidFill>
              <a:latin typeface="Garamond" panose="02020404030301010803" pitchFamily="18" charset="0"/>
            </a:rPr>
            <a:t> </a:t>
          </a:r>
        </a:p>
        <a:p>
          <a:pPr algn="ctr"/>
          <a:r>
            <a:rPr lang="da-DK" sz="2800" b="1">
              <a:solidFill>
                <a:schemeClr val="bg1"/>
              </a:solidFill>
              <a:latin typeface="Garamond" panose="02020404030301010803" pitchFamily="18" charset="0"/>
            </a:rPr>
            <a:t>ISO 27001 modenhedsmåling i staten</a:t>
          </a:r>
          <a:r>
            <a:rPr lang="da-DK" sz="2800" b="1" baseline="0">
              <a:solidFill>
                <a:schemeClr val="bg1"/>
              </a:solidFill>
              <a:latin typeface="Garamond" panose="02020404030301010803" pitchFamily="18" charset="0"/>
            </a:rPr>
            <a:t> </a:t>
          </a:r>
        </a:p>
        <a:p>
          <a:pPr algn="ctr"/>
          <a:endParaRPr lang="da-DK" sz="1800" b="1" i="1" baseline="0">
            <a:solidFill>
              <a:schemeClr val="bg1"/>
            </a:solidFill>
            <a:latin typeface="Garamond" panose="02020404030301010803" pitchFamily="18" charset="0"/>
          </a:endParaRPr>
        </a:p>
        <a:p>
          <a:pPr algn="ctr"/>
          <a:r>
            <a:rPr lang="da-DK" sz="1800" b="1" i="1" baseline="0">
              <a:solidFill>
                <a:schemeClr val="bg1"/>
              </a:solidFill>
              <a:latin typeface="Garamond" panose="02020404030301010803" pitchFamily="18" charset="0"/>
            </a:rPr>
            <a:t>Senest opdateret september 2023</a:t>
          </a:r>
          <a:endParaRPr lang="da-DK" sz="1800" b="1" i="1">
            <a:solidFill>
              <a:schemeClr val="bg1"/>
            </a:solidFill>
            <a:latin typeface="Garamond" panose="02020404030301010803"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1031456</xdr:colOff>
      <xdr:row>1</xdr:row>
      <xdr:rowOff>23385</xdr:rowOff>
    </xdr:from>
    <xdr:to>
      <xdr:col>10</xdr:col>
      <xdr:colOff>1242790</xdr:colOff>
      <xdr:row>1</xdr:row>
      <xdr:rowOff>587375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7200"/>
                  </a14:imgEffect>
                </a14:imgLayer>
              </a14:imgProps>
            </a:ext>
            <a:ext uri="{28A0092B-C50C-407E-A947-70E740481C1C}">
              <a14:useLocalDpi xmlns:a14="http://schemas.microsoft.com/office/drawing/2010/main" val="0"/>
            </a:ext>
          </a:extLst>
        </a:blip>
        <a:stretch>
          <a:fillRect/>
        </a:stretch>
      </xdr:blipFill>
      <xdr:spPr>
        <a:xfrm>
          <a:off x="7421144" y="213885"/>
          <a:ext cx="2783084" cy="563990"/>
        </a:xfrm>
        <a:prstGeom prst="rect">
          <a:avLst/>
        </a:prstGeom>
        <a:solidFill>
          <a:schemeClr val="accent2"/>
        </a:solidFill>
      </xdr:spPr>
    </xdr:pic>
    <xdr:clientData/>
  </xdr:twoCellAnchor>
  <xdr:twoCellAnchor editAs="oneCell">
    <xdr:from>
      <xdr:col>8</xdr:col>
      <xdr:colOff>276225</xdr:colOff>
      <xdr:row>20</xdr:row>
      <xdr:rowOff>18720</xdr:rowOff>
    </xdr:from>
    <xdr:to>
      <xdr:col>11</xdr:col>
      <xdr:colOff>22472</xdr:colOff>
      <xdr:row>20</xdr:row>
      <xdr:rowOff>1789518</xdr:rowOff>
    </xdr:to>
    <xdr:pic>
      <xdr:nvPicPr>
        <xdr:cNvPr id="4" name="Billed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57975" y="5524170"/>
          <a:ext cx="3603872" cy="1770798"/>
        </a:xfrm>
        <a:prstGeom prst="rect">
          <a:avLst/>
        </a:prstGeom>
        <a:ln w="12700">
          <a:solidFill>
            <a:schemeClr val="tx1"/>
          </a:solidFill>
        </a:ln>
      </xdr:spPr>
    </xdr:pic>
    <xdr:clientData/>
  </xdr:twoCellAnchor>
  <xdr:twoCellAnchor>
    <xdr:from>
      <xdr:col>10</xdr:col>
      <xdr:colOff>306997</xdr:colOff>
      <xdr:row>19</xdr:row>
      <xdr:rowOff>146538</xdr:rowOff>
    </xdr:from>
    <xdr:to>
      <xdr:col>10</xdr:col>
      <xdr:colOff>885824</xdr:colOff>
      <xdr:row>20</xdr:row>
      <xdr:rowOff>2007577</xdr:rowOff>
    </xdr:to>
    <xdr:sp macro="" textlink="">
      <xdr:nvSpPr>
        <xdr:cNvPr id="6" name="Ellipse 5"/>
        <xdr:cNvSpPr/>
      </xdr:nvSpPr>
      <xdr:spPr>
        <a:xfrm>
          <a:off x="9260497" y="5404338"/>
          <a:ext cx="578827" cy="2108689"/>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10</xdr:col>
      <xdr:colOff>1246693</xdr:colOff>
      <xdr:row>19</xdr:row>
      <xdr:rowOff>98053</xdr:rowOff>
    </xdr:from>
    <xdr:to>
      <xdr:col>11</xdr:col>
      <xdr:colOff>122010</xdr:colOff>
      <xdr:row>20</xdr:row>
      <xdr:rowOff>32111</xdr:rowOff>
    </xdr:to>
    <xdr:sp macro="" textlink="">
      <xdr:nvSpPr>
        <xdr:cNvPr id="7" name="Ellipse 6"/>
        <xdr:cNvSpPr/>
      </xdr:nvSpPr>
      <xdr:spPr>
        <a:xfrm>
          <a:off x="10200193" y="5355853"/>
          <a:ext cx="161192" cy="181708"/>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solidFill>
                <a:schemeClr val="bg1"/>
              </a:solidFill>
            </a:rPr>
            <a:t>1</a:t>
          </a:r>
        </a:p>
      </xdr:txBody>
    </xdr:sp>
    <xdr:clientData/>
  </xdr:twoCellAnchor>
  <xdr:twoCellAnchor editAs="oneCell">
    <xdr:from>
      <xdr:col>8</xdr:col>
      <xdr:colOff>238125</xdr:colOff>
      <xdr:row>20</xdr:row>
      <xdr:rowOff>4048125</xdr:rowOff>
    </xdr:from>
    <xdr:to>
      <xdr:col>11</xdr:col>
      <xdr:colOff>19050</xdr:colOff>
      <xdr:row>20</xdr:row>
      <xdr:rowOff>4581525</xdr:rowOff>
    </xdr:to>
    <xdr:pic>
      <xdr:nvPicPr>
        <xdr:cNvPr id="14" name="Billede 1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619875" y="9553575"/>
          <a:ext cx="3638550" cy="533400"/>
        </a:xfrm>
        <a:prstGeom prst="rect">
          <a:avLst/>
        </a:prstGeom>
        <a:ln w="12700">
          <a:solidFill>
            <a:schemeClr val="tx1"/>
          </a:solidFill>
        </a:ln>
      </xdr:spPr>
    </xdr:pic>
    <xdr:clientData/>
  </xdr:twoCellAnchor>
  <xdr:twoCellAnchor>
    <xdr:from>
      <xdr:col>10</xdr:col>
      <xdr:colOff>1219772</xdr:colOff>
      <xdr:row>20</xdr:row>
      <xdr:rowOff>3936627</xdr:rowOff>
    </xdr:from>
    <xdr:to>
      <xdr:col>11</xdr:col>
      <xdr:colOff>97160</xdr:colOff>
      <xdr:row>20</xdr:row>
      <xdr:rowOff>4119163</xdr:rowOff>
    </xdr:to>
    <xdr:sp macro="" textlink="">
      <xdr:nvSpPr>
        <xdr:cNvPr id="16" name="Ellipse 15"/>
        <xdr:cNvSpPr/>
      </xdr:nvSpPr>
      <xdr:spPr>
        <a:xfrm>
          <a:off x="10173272" y="9442077"/>
          <a:ext cx="163263" cy="182536"/>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solidFill>
                <a:schemeClr val="bg1"/>
              </a:solidFill>
            </a:rPr>
            <a:t>4</a:t>
          </a:r>
        </a:p>
      </xdr:txBody>
    </xdr:sp>
    <xdr:clientData/>
  </xdr:twoCellAnchor>
  <xdr:twoCellAnchor editAs="oneCell">
    <xdr:from>
      <xdr:col>8</xdr:col>
      <xdr:colOff>248479</xdr:colOff>
      <xdr:row>28</xdr:row>
      <xdr:rowOff>124239</xdr:rowOff>
    </xdr:from>
    <xdr:to>
      <xdr:col>10</xdr:col>
      <xdr:colOff>1073815</xdr:colOff>
      <xdr:row>28</xdr:row>
      <xdr:rowOff>1776963</xdr:rowOff>
    </xdr:to>
    <xdr:pic>
      <xdr:nvPicPr>
        <xdr:cNvPr id="17" name="Billede 1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17805" y="17062174"/>
          <a:ext cx="3392945" cy="1652724"/>
        </a:xfrm>
        <a:prstGeom prst="rect">
          <a:avLst/>
        </a:prstGeom>
        <a:ln w="12700">
          <a:solidFill>
            <a:schemeClr val="tx1"/>
          </a:solidFill>
        </a:ln>
      </xdr:spPr>
    </xdr:pic>
    <xdr:clientData/>
  </xdr:twoCellAnchor>
  <xdr:twoCellAnchor>
    <xdr:from>
      <xdr:col>10</xdr:col>
      <xdr:colOff>985630</xdr:colOff>
      <xdr:row>28</xdr:row>
      <xdr:rowOff>24847</xdr:rowOff>
    </xdr:from>
    <xdr:to>
      <xdr:col>10</xdr:col>
      <xdr:colOff>1146822</xdr:colOff>
      <xdr:row>28</xdr:row>
      <xdr:rowOff>207383</xdr:rowOff>
    </xdr:to>
    <xdr:sp macro="" textlink="">
      <xdr:nvSpPr>
        <xdr:cNvPr id="18" name="Ellipse 17"/>
        <xdr:cNvSpPr/>
      </xdr:nvSpPr>
      <xdr:spPr>
        <a:xfrm>
          <a:off x="9922565" y="16962782"/>
          <a:ext cx="161192" cy="182536"/>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solidFill>
                <a:schemeClr val="bg1"/>
              </a:solidFill>
            </a:rPr>
            <a:t>5</a:t>
          </a:r>
        </a:p>
      </xdr:txBody>
    </xdr:sp>
    <xdr:clientData/>
  </xdr:twoCellAnchor>
  <xdr:twoCellAnchor editAs="oneCell">
    <xdr:from>
      <xdr:col>8</xdr:col>
      <xdr:colOff>209549</xdr:colOff>
      <xdr:row>28</xdr:row>
      <xdr:rowOff>1953579</xdr:rowOff>
    </xdr:from>
    <xdr:to>
      <xdr:col>10</xdr:col>
      <xdr:colOff>1057274</xdr:colOff>
      <xdr:row>30</xdr:row>
      <xdr:rowOff>783412</xdr:rowOff>
    </xdr:to>
    <xdr:pic>
      <xdr:nvPicPr>
        <xdr:cNvPr id="19" name="Billede 18"/>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591299" y="19289079"/>
          <a:ext cx="3419475" cy="2630308"/>
        </a:xfrm>
        <a:prstGeom prst="rect">
          <a:avLst/>
        </a:prstGeom>
        <a:ln w="12700">
          <a:solidFill>
            <a:schemeClr val="tx1"/>
          </a:solidFill>
        </a:ln>
      </xdr:spPr>
    </xdr:pic>
    <xdr:clientData/>
  </xdr:twoCellAnchor>
  <xdr:twoCellAnchor>
    <xdr:from>
      <xdr:col>10</xdr:col>
      <xdr:colOff>980660</xdr:colOff>
      <xdr:row>28</xdr:row>
      <xdr:rowOff>1842052</xdr:rowOff>
    </xdr:from>
    <xdr:to>
      <xdr:col>10</xdr:col>
      <xdr:colOff>1141852</xdr:colOff>
      <xdr:row>28</xdr:row>
      <xdr:rowOff>2024588</xdr:rowOff>
    </xdr:to>
    <xdr:sp macro="" textlink="">
      <xdr:nvSpPr>
        <xdr:cNvPr id="20" name="Ellipse 19"/>
        <xdr:cNvSpPr/>
      </xdr:nvSpPr>
      <xdr:spPr>
        <a:xfrm>
          <a:off x="9917595" y="18779987"/>
          <a:ext cx="161192" cy="182536"/>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solidFill>
                <a:schemeClr val="bg1"/>
              </a:solidFill>
            </a:rPr>
            <a:t>6</a:t>
          </a:r>
        </a:p>
      </xdr:txBody>
    </xdr:sp>
    <xdr:clientData/>
  </xdr:twoCellAnchor>
  <xdr:twoCellAnchor editAs="oneCell">
    <xdr:from>
      <xdr:col>8</xdr:col>
      <xdr:colOff>228600</xdr:colOff>
      <xdr:row>20</xdr:row>
      <xdr:rowOff>4638675</xdr:rowOff>
    </xdr:from>
    <xdr:to>
      <xdr:col>11</xdr:col>
      <xdr:colOff>19050</xdr:colOff>
      <xdr:row>21</xdr:row>
      <xdr:rowOff>114300</xdr:rowOff>
    </xdr:to>
    <xdr:pic>
      <xdr:nvPicPr>
        <xdr:cNvPr id="8" name="Billede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610350" y="10144125"/>
          <a:ext cx="3648075" cy="533400"/>
        </a:xfrm>
        <a:prstGeom prst="rect">
          <a:avLst/>
        </a:prstGeom>
        <a:ln w="12700">
          <a:solidFill>
            <a:sysClr val="windowText" lastClr="000000"/>
          </a:solidFill>
        </a:ln>
      </xdr:spPr>
    </xdr:pic>
    <xdr:clientData/>
  </xdr:twoCellAnchor>
  <xdr:twoCellAnchor editAs="oneCell">
    <xdr:from>
      <xdr:col>8</xdr:col>
      <xdr:colOff>247650</xdr:colOff>
      <xdr:row>20</xdr:row>
      <xdr:rowOff>2050600</xdr:rowOff>
    </xdr:from>
    <xdr:to>
      <xdr:col>11</xdr:col>
      <xdr:colOff>33909</xdr:colOff>
      <xdr:row>20</xdr:row>
      <xdr:rowOff>2501249</xdr:rowOff>
    </xdr:to>
    <xdr:pic>
      <xdr:nvPicPr>
        <xdr:cNvPr id="10" name="Billede 9"/>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629400" y="7556050"/>
          <a:ext cx="3643884" cy="450649"/>
        </a:xfrm>
        <a:prstGeom prst="rect">
          <a:avLst/>
        </a:prstGeom>
        <a:ln w="12700">
          <a:solidFill>
            <a:sysClr val="windowText" lastClr="000000"/>
          </a:solidFill>
        </a:ln>
      </xdr:spPr>
    </xdr:pic>
    <xdr:clientData/>
  </xdr:twoCellAnchor>
  <xdr:twoCellAnchor>
    <xdr:from>
      <xdr:col>10</xdr:col>
      <xdr:colOff>1262843</xdr:colOff>
      <xdr:row>20</xdr:row>
      <xdr:rowOff>1922711</xdr:rowOff>
    </xdr:from>
    <xdr:to>
      <xdr:col>11</xdr:col>
      <xdr:colOff>140231</xdr:colOff>
      <xdr:row>20</xdr:row>
      <xdr:rowOff>2105247</xdr:rowOff>
    </xdr:to>
    <xdr:sp macro="" textlink="">
      <xdr:nvSpPr>
        <xdr:cNvPr id="15" name="Ellipse 14"/>
        <xdr:cNvSpPr/>
      </xdr:nvSpPr>
      <xdr:spPr>
        <a:xfrm>
          <a:off x="10216343" y="7428161"/>
          <a:ext cx="163263" cy="182536"/>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solidFill>
                <a:schemeClr val="bg1"/>
              </a:solidFill>
            </a:rPr>
            <a:t>2</a:t>
          </a:r>
        </a:p>
      </xdr:txBody>
    </xdr:sp>
    <xdr:clientData/>
  </xdr:twoCellAnchor>
  <xdr:twoCellAnchor editAs="oneCell">
    <xdr:from>
      <xdr:col>8</xdr:col>
      <xdr:colOff>225515</xdr:colOff>
      <xdr:row>20</xdr:row>
      <xdr:rowOff>2733675</xdr:rowOff>
    </xdr:from>
    <xdr:to>
      <xdr:col>11</xdr:col>
      <xdr:colOff>47448</xdr:colOff>
      <xdr:row>20</xdr:row>
      <xdr:rowOff>3752850</xdr:rowOff>
    </xdr:to>
    <xdr:pic>
      <xdr:nvPicPr>
        <xdr:cNvPr id="11" name="Billede 10"/>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607265" y="8239125"/>
          <a:ext cx="3679558" cy="1019175"/>
        </a:xfrm>
        <a:prstGeom prst="rect">
          <a:avLst/>
        </a:prstGeom>
        <a:ln w="12700">
          <a:solidFill>
            <a:sysClr val="windowText" lastClr="000000"/>
          </a:solidFill>
        </a:ln>
      </xdr:spPr>
    </xdr:pic>
    <xdr:clientData/>
  </xdr:twoCellAnchor>
  <xdr:twoCellAnchor>
    <xdr:from>
      <xdr:col>10</xdr:col>
      <xdr:colOff>1253318</xdr:colOff>
      <xdr:row>20</xdr:row>
      <xdr:rowOff>2598986</xdr:rowOff>
    </xdr:from>
    <xdr:to>
      <xdr:col>11</xdr:col>
      <xdr:colOff>130706</xdr:colOff>
      <xdr:row>20</xdr:row>
      <xdr:rowOff>2781522</xdr:rowOff>
    </xdr:to>
    <xdr:sp macro="" textlink="">
      <xdr:nvSpPr>
        <xdr:cNvPr id="21" name="Ellipse 20"/>
        <xdr:cNvSpPr/>
      </xdr:nvSpPr>
      <xdr:spPr>
        <a:xfrm>
          <a:off x="10206818" y="8104436"/>
          <a:ext cx="163263" cy="182536"/>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solidFill>
                <a:schemeClr val="bg1"/>
              </a:solidFill>
            </a:rPr>
            <a:t>3</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496955</xdr:colOff>
      <xdr:row>2</xdr:row>
      <xdr:rowOff>50691</xdr:rowOff>
    </xdr:from>
    <xdr:to>
      <xdr:col>12</xdr:col>
      <xdr:colOff>961610</xdr:colOff>
      <xdr:row>3</xdr:row>
      <xdr:rowOff>596148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7200"/>
                  </a14:imgEffect>
                </a14:imgLayer>
              </a14:imgProps>
            </a:ext>
            <a:ext uri="{28A0092B-C50C-407E-A947-70E740481C1C}">
              <a14:useLocalDpi xmlns:a14="http://schemas.microsoft.com/office/drawing/2010/main" val="0"/>
            </a:ext>
          </a:extLst>
        </a:blip>
        <a:stretch>
          <a:fillRect/>
        </a:stretch>
      </xdr:blipFill>
      <xdr:spPr>
        <a:xfrm>
          <a:off x="10391912" y="238430"/>
          <a:ext cx="4103339" cy="744082"/>
        </a:xfrm>
        <a:prstGeom prst="rect">
          <a:avLst/>
        </a:prstGeom>
        <a:solidFill>
          <a:schemeClr val="accent2"/>
        </a:solidFill>
      </xdr:spPr>
    </xdr:pic>
    <xdr:clientData/>
  </xdr:twoCellAnchor>
  <xdr:twoCellAnchor>
    <xdr:from>
      <xdr:col>17</xdr:col>
      <xdr:colOff>62744</xdr:colOff>
      <xdr:row>53</xdr:row>
      <xdr:rowOff>795861</xdr:rowOff>
    </xdr:from>
    <xdr:to>
      <xdr:col>24</xdr:col>
      <xdr:colOff>309336</xdr:colOff>
      <xdr:row>53</xdr:row>
      <xdr:rowOff>1197504</xdr:rowOff>
    </xdr:to>
    <xdr:sp macro="" textlink="">
      <xdr:nvSpPr>
        <xdr:cNvPr id="176" name="TextBox 175">
          <a:extLst>
            <a:ext uri="{FF2B5EF4-FFF2-40B4-BE49-F238E27FC236}">
              <a16:creationId xmlns:a16="http://schemas.microsoft.com/office/drawing/2014/main" id="{00000000-0008-0000-0300-0000B0000000}"/>
            </a:ext>
          </a:extLst>
        </xdr:cNvPr>
        <xdr:cNvSpPr txBox="1"/>
      </xdr:nvSpPr>
      <xdr:spPr>
        <a:xfrm>
          <a:off x="17561530" y="26445325"/>
          <a:ext cx="5879949" cy="401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lang="da-DK" sz="1200" b="1">
              <a:latin typeface="Garamond" panose="02020404030301010803" pitchFamily="18" charset="0"/>
            </a:rPr>
            <a:t>Ad-hoc: </a:t>
          </a:r>
          <a:r>
            <a:rPr lang="da-DK" sz="1200">
              <a:latin typeface="Garamond" panose="02020404030301010803" pitchFamily="18" charset="0"/>
            </a:rPr>
            <a:t>Der er indikationer af, at myndigheden i et vist omfang har erkendt et behov for politikker og/eller processer. Aktiviteter gennemføres på ad-hoc basis fra aktivitet til aktivitet.</a:t>
          </a:r>
        </a:p>
      </xdr:txBody>
    </xdr:sp>
    <xdr:clientData/>
  </xdr:twoCellAnchor>
  <xdr:twoCellAnchor>
    <xdr:from>
      <xdr:col>17</xdr:col>
      <xdr:colOff>62744</xdr:colOff>
      <xdr:row>53</xdr:row>
      <xdr:rowOff>1089550</xdr:rowOff>
    </xdr:from>
    <xdr:to>
      <xdr:col>24</xdr:col>
      <xdr:colOff>301707</xdr:colOff>
      <xdr:row>54</xdr:row>
      <xdr:rowOff>197884</xdr:rowOff>
    </xdr:to>
    <xdr:sp macro="" textlink="">
      <xdr:nvSpPr>
        <xdr:cNvPr id="177" name="TextBox 176">
          <a:extLst>
            <a:ext uri="{FF2B5EF4-FFF2-40B4-BE49-F238E27FC236}">
              <a16:creationId xmlns:a16="http://schemas.microsoft.com/office/drawing/2014/main" id="{00000000-0008-0000-0300-0000B1000000}"/>
            </a:ext>
          </a:extLst>
        </xdr:cNvPr>
        <xdr:cNvSpPr txBox="1"/>
      </xdr:nvSpPr>
      <xdr:spPr>
        <a:xfrm>
          <a:off x="17561530" y="26739014"/>
          <a:ext cx="5872320" cy="931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lang="da-DK" sz="1200" b="1" i="0" u="none" strike="noStrike">
              <a:solidFill>
                <a:schemeClr val="dk1"/>
              </a:solidFill>
              <a:effectLst/>
              <a:latin typeface="Garamond" panose="02020404030301010803" pitchFamily="18" charset="0"/>
              <a:ea typeface="+mn-ea"/>
              <a:cs typeface="+mn-cs"/>
            </a:rPr>
            <a:t>Gentaget: </a:t>
          </a:r>
          <a:r>
            <a:rPr lang="da-DK" sz="1200" b="0" i="0" u="none" strike="noStrike">
              <a:solidFill>
                <a:schemeClr val="dk1"/>
              </a:solidFill>
              <a:effectLst/>
              <a:latin typeface="Garamond" panose="02020404030301010803" pitchFamily="18" charset="0"/>
              <a:ea typeface="+mn-ea"/>
              <a:cs typeface="+mn-cs"/>
            </a:rPr>
            <a:t>Der er delvist påbegyndt udarbejdelse af politikker, og der eksisterer udvalgte formelle processer. Aktiviteter gennemføres på konsistent vis, uanset om de gennemføres af forskellige personer.</a:t>
          </a:r>
          <a:endParaRPr lang="da-DK" sz="1200">
            <a:latin typeface="Garamond" panose="02020404030301010803" pitchFamily="18" charset="0"/>
          </a:endParaRPr>
        </a:p>
      </xdr:txBody>
    </xdr:sp>
    <xdr:clientData/>
  </xdr:twoCellAnchor>
  <xdr:twoCellAnchor>
    <xdr:from>
      <xdr:col>17</xdr:col>
      <xdr:colOff>62744</xdr:colOff>
      <xdr:row>54</xdr:row>
      <xdr:rowOff>79348</xdr:rowOff>
    </xdr:from>
    <xdr:to>
      <xdr:col>24</xdr:col>
      <xdr:colOff>286449</xdr:colOff>
      <xdr:row>54</xdr:row>
      <xdr:rowOff>500864</xdr:rowOff>
    </xdr:to>
    <xdr:sp macro="" textlink="">
      <xdr:nvSpPr>
        <xdr:cNvPr id="178" name="TextBox 177">
          <a:extLst>
            <a:ext uri="{FF2B5EF4-FFF2-40B4-BE49-F238E27FC236}">
              <a16:creationId xmlns:a16="http://schemas.microsoft.com/office/drawing/2014/main" id="{00000000-0008-0000-0300-0000B2000000}"/>
            </a:ext>
          </a:extLst>
        </xdr:cNvPr>
        <xdr:cNvSpPr txBox="1"/>
      </xdr:nvSpPr>
      <xdr:spPr>
        <a:xfrm>
          <a:off x="17561530" y="27552169"/>
          <a:ext cx="5857062" cy="421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lang="da-DK" sz="1200" b="1" i="0" u="none" strike="noStrike">
              <a:solidFill>
                <a:schemeClr val="dk1"/>
              </a:solidFill>
              <a:effectLst/>
              <a:latin typeface="Garamond" panose="02020404030301010803" pitchFamily="18" charset="0"/>
              <a:ea typeface="+mn-ea"/>
              <a:cs typeface="+mn-cs"/>
            </a:rPr>
            <a:t>Procesunderstøttet</a:t>
          </a:r>
          <a:r>
            <a:rPr lang="da-DK" sz="1200" b="0" i="0" u="none" strike="noStrike">
              <a:solidFill>
                <a:schemeClr val="dk1"/>
              </a:solidFill>
              <a:effectLst/>
              <a:latin typeface="Garamond" panose="02020404030301010803" pitchFamily="18" charset="0"/>
              <a:ea typeface="+mn-ea"/>
              <a:cs typeface="+mn-cs"/>
            </a:rPr>
            <a:t>: Politikker og/eller processer eksisterer. De er dokumenterede, og der er forventning om, at de stort set følges.</a:t>
          </a:r>
          <a:endParaRPr lang="da-DK" sz="1200">
            <a:latin typeface="Garamond" panose="02020404030301010803" pitchFamily="18" charset="0"/>
          </a:endParaRPr>
        </a:p>
      </xdr:txBody>
    </xdr:sp>
    <xdr:clientData/>
  </xdr:twoCellAnchor>
  <xdr:twoCellAnchor>
    <xdr:from>
      <xdr:col>17</xdr:col>
      <xdr:colOff>62744</xdr:colOff>
      <xdr:row>54</xdr:row>
      <xdr:rowOff>471526</xdr:rowOff>
    </xdr:from>
    <xdr:to>
      <xdr:col>24</xdr:col>
      <xdr:colOff>263560</xdr:colOff>
      <xdr:row>54</xdr:row>
      <xdr:rowOff>1005420</xdr:rowOff>
    </xdr:to>
    <xdr:sp macro="" textlink="">
      <xdr:nvSpPr>
        <xdr:cNvPr id="179" name="TextBox 178">
          <a:extLst>
            <a:ext uri="{FF2B5EF4-FFF2-40B4-BE49-F238E27FC236}">
              <a16:creationId xmlns:a16="http://schemas.microsoft.com/office/drawing/2014/main" id="{00000000-0008-0000-0300-0000B3000000}"/>
            </a:ext>
          </a:extLst>
        </xdr:cNvPr>
        <xdr:cNvSpPr txBox="1"/>
      </xdr:nvSpPr>
      <xdr:spPr>
        <a:xfrm>
          <a:off x="17561530" y="27944347"/>
          <a:ext cx="5834173" cy="533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a-DK" sz="1200" b="1" i="0" u="none" strike="noStrike">
              <a:solidFill>
                <a:schemeClr val="dk1"/>
              </a:solidFill>
              <a:effectLst/>
              <a:latin typeface="Garamond" panose="02020404030301010803" pitchFamily="18" charset="0"/>
              <a:ea typeface="+mn-ea"/>
              <a:cs typeface="+mn-cs"/>
            </a:rPr>
            <a:t>Styret og målbar</a:t>
          </a:r>
          <a:r>
            <a:rPr lang="da-DK" sz="1200" b="0" i="0" u="none" strike="noStrike">
              <a:solidFill>
                <a:schemeClr val="dk1"/>
              </a:solidFill>
              <a:effectLst/>
              <a:latin typeface="Garamond" panose="02020404030301010803" pitchFamily="18" charset="0"/>
              <a:ea typeface="+mn-ea"/>
              <a:cs typeface="+mn-cs"/>
            </a:rPr>
            <a:t>: Der føres tilsyn med, at politikker og/eller processer følges. Gennemførelse af aktiviteter dokumenteres struktureret og er så vidt muligt målbare. Der laves forbedringer på baggrund af tilsyn eller evalueringer.</a:t>
          </a:r>
          <a:endParaRPr lang="da-DK" sz="1200">
            <a:latin typeface="Garamond" panose="02020404030301010803" pitchFamily="18" charset="0"/>
          </a:endParaRPr>
        </a:p>
      </xdr:txBody>
    </xdr:sp>
    <xdr:clientData/>
  </xdr:twoCellAnchor>
  <xdr:twoCellAnchor>
    <xdr:from>
      <xdr:col>17</xdr:col>
      <xdr:colOff>62744</xdr:colOff>
      <xdr:row>54</xdr:row>
      <xdr:rowOff>945980</xdr:rowOff>
    </xdr:from>
    <xdr:to>
      <xdr:col>24</xdr:col>
      <xdr:colOff>263560</xdr:colOff>
      <xdr:row>54</xdr:row>
      <xdr:rowOff>1479059</xdr:rowOff>
    </xdr:to>
    <xdr:sp macro="" textlink="">
      <xdr:nvSpPr>
        <xdr:cNvPr id="180" name="TextBox 179">
          <a:extLst>
            <a:ext uri="{FF2B5EF4-FFF2-40B4-BE49-F238E27FC236}">
              <a16:creationId xmlns:a16="http://schemas.microsoft.com/office/drawing/2014/main" id="{00000000-0008-0000-0300-0000B4000000}"/>
            </a:ext>
          </a:extLst>
        </xdr:cNvPr>
        <xdr:cNvSpPr txBox="1"/>
      </xdr:nvSpPr>
      <xdr:spPr>
        <a:xfrm>
          <a:off x="17561530" y="28418801"/>
          <a:ext cx="5834173" cy="533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lang="da-DK" sz="1200" b="1" i="0" u="none" strike="noStrike">
              <a:solidFill>
                <a:schemeClr val="dk1"/>
              </a:solidFill>
              <a:effectLst/>
              <a:latin typeface="Garamond" panose="02020404030301010803" pitchFamily="18" charset="0"/>
              <a:ea typeface="+mn-ea"/>
              <a:cs typeface="+mn-cs"/>
            </a:rPr>
            <a:t>Optimeret: </a:t>
          </a:r>
          <a:r>
            <a:rPr lang="da-DK" sz="1200" b="0" i="0" u="none" strike="noStrike">
              <a:solidFill>
                <a:schemeClr val="dk1"/>
              </a:solidFill>
              <a:effectLst/>
              <a:latin typeface="Garamond" panose="02020404030301010803" pitchFamily="18" charset="0"/>
              <a:ea typeface="+mn-ea"/>
              <a:cs typeface="+mn-cs"/>
            </a:rPr>
            <a:t>Processer har nået et meget højt kvalitetsniveau. Der optimeres på baggrund af egne erfaringer og sparring med andre organisationer.</a:t>
          </a:r>
          <a:endParaRPr lang="da-DK" sz="1200">
            <a:latin typeface="Garamond" panose="02020404030301010803" pitchFamily="18" charset="0"/>
          </a:endParaRPr>
        </a:p>
      </xdr:txBody>
    </xdr:sp>
    <xdr:clientData/>
  </xdr:twoCellAnchor>
  <xdr:twoCellAnchor>
    <xdr:from>
      <xdr:col>17</xdr:col>
      <xdr:colOff>91771</xdr:colOff>
      <xdr:row>194</xdr:row>
      <xdr:rowOff>338778</xdr:rowOff>
    </xdr:from>
    <xdr:to>
      <xdr:col>24</xdr:col>
      <xdr:colOff>295309</xdr:colOff>
      <xdr:row>194</xdr:row>
      <xdr:rowOff>979714</xdr:rowOff>
    </xdr:to>
    <xdr:sp macro="" textlink="">
      <xdr:nvSpPr>
        <xdr:cNvPr id="240" name="TextBox 239">
          <a:extLst>
            <a:ext uri="{FF2B5EF4-FFF2-40B4-BE49-F238E27FC236}">
              <a16:creationId xmlns:a16="http://schemas.microsoft.com/office/drawing/2014/main" id="{7A8A29F7-5CBF-4708-9A7E-0FE6F6AB07D5}"/>
            </a:ext>
          </a:extLst>
        </xdr:cNvPr>
        <xdr:cNvSpPr txBox="1"/>
      </xdr:nvSpPr>
      <xdr:spPr>
        <a:xfrm>
          <a:off x="17590557" y="126395349"/>
          <a:ext cx="5836895" cy="640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a-DK" sz="1200" b="1" i="0" u="none" strike="noStrike">
              <a:solidFill>
                <a:schemeClr val="dk1"/>
              </a:solidFill>
              <a:effectLst/>
              <a:latin typeface="Garamond" panose="02020404030301010803" pitchFamily="18" charset="0"/>
              <a:ea typeface="+mn-ea"/>
              <a:cs typeface="+mn-cs"/>
            </a:rPr>
            <a:t>Styret og målbar</a:t>
          </a:r>
          <a:r>
            <a:rPr lang="da-DK" sz="1200" b="0" i="0" u="none" strike="noStrike">
              <a:solidFill>
                <a:schemeClr val="dk1"/>
              </a:solidFill>
              <a:effectLst/>
              <a:latin typeface="Garamond" panose="02020404030301010803" pitchFamily="18" charset="0"/>
              <a:ea typeface="+mn-ea"/>
              <a:cs typeface="+mn-cs"/>
            </a:rPr>
            <a:t>: Der føres tilsyn med, at politikker og/eller processer følges. Gennemførelse af aktiviteter dokumenteres struktureret og er så vidt muligt målbare. Der laves forbedringer på baggrund af tilsyn eller evalueringer.</a:t>
          </a:r>
          <a:endParaRPr lang="da-DK" sz="1200">
            <a:latin typeface="Garamond" panose="02020404030301010803" pitchFamily="18" charset="0"/>
          </a:endParaRPr>
        </a:p>
      </xdr:txBody>
    </xdr:sp>
    <xdr:clientData/>
  </xdr:twoCellAnchor>
  <xdr:twoCellAnchor>
    <xdr:from>
      <xdr:col>17</xdr:col>
      <xdr:colOff>91771</xdr:colOff>
      <xdr:row>194</xdr:row>
      <xdr:rowOff>799625</xdr:rowOff>
    </xdr:from>
    <xdr:to>
      <xdr:col>24</xdr:col>
      <xdr:colOff>295309</xdr:colOff>
      <xdr:row>194</xdr:row>
      <xdr:rowOff>1332704</xdr:rowOff>
    </xdr:to>
    <xdr:sp macro="" textlink="">
      <xdr:nvSpPr>
        <xdr:cNvPr id="241" name="TextBox 240">
          <a:extLst>
            <a:ext uri="{FF2B5EF4-FFF2-40B4-BE49-F238E27FC236}">
              <a16:creationId xmlns:a16="http://schemas.microsoft.com/office/drawing/2014/main" id="{9F64F630-2DF4-495F-8F18-BCA4900DE02D}"/>
            </a:ext>
          </a:extLst>
        </xdr:cNvPr>
        <xdr:cNvSpPr txBox="1"/>
      </xdr:nvSpPr>
      <xdr:spPr>
        <a:xfrm>
          <a:off x="17590557" y="126856196"/>
          <a:ext cx="5836895" cy="533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lang="da-DK" sz="1200" b="1" i="0" u="none" strike="noStrike">
              <a:solidFill>
                <a:schemeClr val="dk1"/>
              </a:solidFill>
              <a:effectLst/>
              <a:latin typeface="Garamond" panose="02020404030301010803" pitchFamily="18" charset="0"/>
              <a:ea typeface="+mn-ea"/>
              <a:cs typeface="+mn-cs"/>
            </a:rPr>
            <a:t>Optimeret: </a:t>
          </a:r>
          <a:r>
            <a:rPr lang="da-DK" sz="1200" b="0" i="0" u="none" strike="noStrike">
              <a:solidFill>
                <a:schemeClr val="dk1"/>
              </a:solidFill>
              <a:effectLst/>
              <a:latin typeface="Garamond" panose="02020404030301010803" pitchFamily="18" charset="0"/>
              <a:ea typeface="+mn-ea"/>
              <a:cs typeface="+mn-cs"/>
            </a:rPr>
            <a:t>Processer har nået et meget højt kvalitetsniveau. Der optimeres på baggrund af egne erfaringer og sparring med andre organisationer.</a:t>
          </a:r>
          <a:endParaRPr lang="da-DK" sz="1200">
            <a:latin typeface="Garamond" panose="02020404030301010803" pitchFamily="18" charset="0"/>
          </a:endParaRPr>
        </a:p>
      </xdr:txBody>
    </xdr:sp>
    <xdr:clientData/>
  </xdr:twoCellAnchor>
  <xdr:twoCellAnchor editAs="oneCell">
    <xdr:from>
      <xdr:col>18</xdr:col>
      <xdr:colOff>40820</xdr:colOff>
      <xdr:row>30</xdr:row>
      <xdr:rowOff>95249</xdr:rowOff>
    </xdr:from>
    <xdr:to>
      <xdr:col>24</xdr:col>
      <xdr:colOff>124599</xdr:colOff>
      <xdr:row>32</xdr:row>
      <xdr:rowOff>1287467</xdr:rowOff>
    </xdr:to>
    <xdr:pic>
      <xdr:nvPicPr>
        <xdr:cNvPr id="3" name="Billede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267713" y="9007928"/>
          <a:ext cx="5553850" cy="4730075"/>
        </a:xfrm>
        <a:prstGeom prst="rect">
          <a:avLst/>
        </a:prstGeom>
      </xdr:spPr>
    </xdr:pic>
    <xdr:clientData/>
  </xdr:twoCellAnchor>
  <xdr:twoCellAnchor editAs="oneCell">
    <xdr:from>
      <xdr:col>17</xdr:col>
      <xdr:colOff>13608</xdr:colOff>
      <xdr:row>49</xdr:row>
      <xdr:rowOff>244928</xdr:rowOff>
    </xdr:from>
    <xdr:to>
      <xdr:col>23</xdr:col>
      <xdr:colOff>600852</xdr:colOff>
      <xdr:row>51</xdr:row>
      <xdr:rowOff>1762357</xdr:rowOff>
    </xdr:to>
    <xdr:pic>
      <xdr:nvPicPr>
        <xdr:cNvPr id="4" name="Billed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376572" y="21839464"/>
          <a:ext cx="5553850" cy="4715533"/>
        </a:xfrm>
        <a:prstGeom prst="rect">
          <a:avLst/>
        </a:prstGeom>
      </xdr:spPr>
    </xdr:pic>
    <xdr:clientData/>
  </xdr:twoCellAnchor>
  <xdr:twoCellAnchor editAs="oneCell">
    <xdr:from>
      <xdr:col>17</xdr:col>
      <xdr:colOff>122465</xdr:colOff>
      <xdr:row>69</xdr:row>
      <xdr:rowOff>231322</xdr:rowOff>
    </xdr:from>
    <xdr:to>
      <xdr:col>23</xdr:col>
      <xdr:colOff>353787</xdr:colOff>
      <xdr:row>71</xdr:row>
      <xdr:rowOff>2568038</xdr:rowOff>
    </xdr:to>
    <xdr:pic>
      <xdr:nvPicPr>
        <xdr:cNvPr id="5" name="Billed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485429" y="33514393"/>
          <a:ext cx="5197928" cy="4715533"/>
        </a:xfrm>
        <a:prstGeom prst="rect">
          <a:avLst/>
        </a:prstGeom>
      </xdr:spPr>
    </xdr:pic>
    <xdr:clientData/>
  </xdr:twoCellAnchor>
  <xdr:twoCellAnchor editAs="oneCell">
    <xdr:from>
      <xdr:col>17</xdr:col>
      <xdr:colOff>122464</xdr:colOff>
      <xdr:row>109</xdr:row>
      <xdr:rowOff>231322</xdr:rowOff>
    </xdr:from>
    <xdr:to>
      <xdr:col>24</xdr:col>
      <xdr:colOff>42958</xdr:colOff>
      <xdr:row>113</xdr:row>
      <xdr:rowOff>1069748</xdr:rowOff>
    </xdr:to>
    <xdr:pic>
      <xdr:nvPicPr>
        <xdr:cNvPr id="8" name="Billed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186071" y="71709643"/>
          <a:ext cx="5553851" cy="4702855"/>
        </a:xfrm>
        <a:prstGeom prst="rect">
          <a:avLst/>
        </a:prstGeom>
      </xdr:spPr>
    </xdr:pic>
    <xdr:clientData/>
  </xdr:twoCellAnchor>
  <xdr:twoCellAnchor editAs="oneCell">
    <xdr:from>
      <xdr:col>17</xdr:col>
      <xdr:colOff>68036</xdr:colOff>
      <xdr:row>89</xdr:row>
      <xdr:rowOff>244928</xdr:rowOff>
    </xdr:from>
    <xdr:to>
      <xdr:col>23</xdr:col>
      <xdr:colOff>655280</xdr:colOff>
      <xdr:row>92</xdr:row>
      <xdr:rowOff>1041700</xdr:rowOff>
    </xdr:to>
    <xdr:pic>
      <xdr:nvPicPr>
        <xdr:cNvPr id="9" name="Billede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431000" y="51353357"/>
          <a:ext cx="5553850" cy="4715533"/>
        </a:xfrm>
        <a:prstGeom prst="rect">
          <a:avLst/>
        </a:prstGeom>
      </xdr:spPr>
    </xdr:pic>
    <xdr:clientData/>
  </xdr:twoCellAnchor>
  <xdr:twoCellAnchor editAs="oneCell">
    <xdr:from>
      <xdr:col>17</xdr:col>
      <xdr:colOff>54429</xdr:colOff>
      <xdr:row>129</xdr:row>
      <xdr:rowOff>272143</xdr:rowOff>
    </xdr:from>
    <xdr:to>
      <xdr:col>23</xdr:col>
      <xdr:colOff>641673</xdr:colOff>
      <xdr:row>133</xdr:row>
      <xdr:rowOff>760396</xdr:rowOff>
    </xdr:to>
    <xdr:pic>
      <xdr:nvPicPr>
        <xdr:cNvPr id="10" name="Billede 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417393" y="77234143"/>
          <a:ext cx="5553850" cy="4715533"/>
        </a:xfrm>
        <a:prstGeom prst="rect">
          <a:avLst/>
        </a:prstGeom>
      </xdr:spPr>
    </xdr:pic>
    <xdr:clientData/>
  </xdr:twoCellAnchor>
  <xdr:twoCellAnchor editAs="oneCell">
    <xdr:from>
      <xdr:col>17</xdr:col>
      <xdr:colOff>156234</xdr:colOff>
      <xdr:row>142</xdr:row>
      <xdr:rowOff>82261</xdr:rowOff>
    </xdr:from>
    <xdr:to>
      <xdr:col>24</xdr:col>
      <xdr:colOff>73884</xdr:colOff>
      <xdr:row>157</xdr:row>
      <xdr:rowOff>178495</xdr:rowOff>
    </xdr:to>
    <xdr:pic>
      <xdr:nvPicPr>
        <xdr:cNvPr id="11" name="Billede 1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219841" y="94597475"/>
          <a:ext cx="5551007" cy="4736270"/>
        </a:xfrm>
        <a:prstGeom prst="rect">
          <a:avLst/>
        </a:prstGeom>
      </xdr:spPr>
    </xdr:pic>
    <xdr:clientData/>
  </xdr:twoCellAnchor>
  <xdr:twoCellAnchor editAs="oneCell">
    <xdr:from>
      <xdr:col>17</xdr:col>
      <xdr:colOff>149679</xdr:colOff>
      <xdr:row>170</xdr:row>
      <xdr:rowOff>27214</xdr:rowOff>
    </xdr:from>
    <xdr:to>
      <xdr:col>24</xdr:col>
      <xdr:colOff>70174</xdr:colOff>
      <xdr:row>172</xdr:row>
      <xdr:rowOff>1429541</xdr:rowOff>
    </xdr:to>
    <xdr:pic>
      <xdr:nvPicPr>
        <xdr:cNvPr id="12" name="Billede 1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213286" y="106122107"/>
          <a:ext cx="5553852" cy="4722470"/>
        </a:xfrm>
        <a:prstGeom prst="rect">
          <a:avLst/>
        </a:prstGeom>
      </xdr:spPr>
    </xdr:pic>
    <xdr:clientData/>
  </xdr:twoCellAnchor>
  <xdr:twoCellAnchor editAs="oneCell">
    <xdr:from>
      <xdr:col>17</xdr:col>
      <xdr:colOff>128649</xdr:colOff>
      <xdr:row>189</xdr:row>
      <xdr:rowOff>145967</xdr:rowOff>
    </xdr:from>
    <xdr:to>
      <xdr:col>24</xdr:col>
      <xdr:colOff>36774</xdr:colOff>
      <xdr:row>193</xdr:row>
      <xdr:rowOff>421036</xdr:rowOff>
    </xdr:to>
    <xdr:pic>
      <xdr:nvPicPr>
        <xdr:cNvPr id="13" name="Billede 1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178649" y="117805694"/>
          <a:ext cx="5519216" cy="47085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1955019</xdr:colOff>
      <xdr:row>40</xdr:row>
      <xdr:rowOff>171753</xdr:rowOff>
    </xdr:from>
    <xdr:to>
      <xdr:col>14</xdr:col>
      <xdr:colOff>84666</xdr:colOff>
      <xdr:row>63</xdr:row>
      <xdr:rowOff>3025</xdr:rowOff>
    </xdr:to>
    <xdr:graphicFrame macro="">
      <xdr:nvGraphicFramePr>
        <xdr:cNvPr id="13" name="Chart1.">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476250</xdr:colOff>
      <xdr:row>44</xdr:row>
      <xdr:rowOff>91492</xdr:rowOff>
    </xdr:from>
    <xdr:to>
      <xdr:col>3</xdr:col>
      <xdr:colOff>256027</xdr:colOff>
      <xdr:row>57</xdr:row>
      <xdr:rowOff>5884</xdr:rowOff>
    </xdr:to>
    <xdr:grpSp>
      <xdr:nvGrpSpPr>
        <xdr:cNvPr id="12" name="Group 11"/>
        <xdr:cNvGrpSpPr/>
      </xdr:nvGrpSpPr>
      <xdr:grpSpPr>
        <a:xfrm>
          <a:off x="2874309" y="10187992"/>
          <a:ext cx="1191718" cy="2390892"/>
          <a:chOff x="4307416" y="9970278"/>
          <a:chExt cx="2806611" cy="2390892"/>
        </a:xfrm>
      </xdr:grpSpPr>
      <xdr:sp macro="" textlink="">
        <xdr:nvSpPr>
          <xdr:cNvPr id="14" name="TextBox 13">
            <a:extLst>
              <a:ext uri="{FF2B5EF4-FFF2-40B4-BE49-F238E27FC236}">
                <a16:creationId xmlns:a16="http://schemas.microsoft.com/office/drawing/2014/main" id="{00000000-0008-0000-0400-00000E000000}"/>
              </a:ext>
            </a:extLst>
          </xdr:cNvPr>
          <xdr:cNvSpPr txBox="1"/>
        </xdr:nvSpPr>
        <xdr:spPr>
          <a:xfrm>
            <a:off x="4307416" y="10978529"/>
            <a:ext cx="2806609" cy="409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Procesunderstøttet</a:t>
            </a:r>
          </a:p>
        </xdr:txBody>
      </xdr:sp>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5264647" y="11541817"/>
            <a:ext cx="1849378" cy="333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Gentaget</a:t>
            </a:r>
          </a:p>
        </xdr:txBody>
      </xdr:sp>
      <xdr:sp macro="" textlink="">
        <xdr:nvSpPr>
          <xdr:cNvPr id="17" name="TextBox 16">
            <a:extLst>
              <a:ext uri="{FF2B5EF4-FFF2-40B4-BE49-F238E27FC236}">
                <a16:creationId xmlns:a16="http://schemas.microsoft.com/office/drawing/2014/main" id="{00000000-0008-0000-0400-000011000000}"/>
              </a:ext>
            </a:extLst>
          </xdr:cNvPr>
          <xdr:cNvSpPr txBox="1"/>
        </xdr:nvSpPr>
        <xdr:spPr>
          <a:xfrm>
            <a:off x="5604999" y="12028818"/>
            <a:ext cx="1509028" cy="332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Ad-hoc</a:t>
            </a:r>
          </a:p>
        </xdr:txBody>
      </xdr:sp>
      <xdr:sp macro="" textlink="">
        <xdr:nvSpPr>
          <xdr:cNvPr id="18" name="TextBox 17">
            <a:extLst>
              <a:ext uri="{FF2B5EF4-FFF2-40B4-BE49-F238E27FC236}">
                <a16:creationId xmlns:a16="http://schemas.microsoft.com/office/drawing/2014/main" id="{00000000-0008-0000-0400-000012000000}"/>
              </a:ext>
            </a:extLst>
          </xdr:cNvPr>
          <xdr:cNvSpPr txBox="1"/>
        </xdr:nvSpPr>
        <xdr:spPr>
          <a:xfrm>
            <a:off x="4860485" y="9970278"/>
            <a:ext cx="2253541" cy="32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Optimeret</a:t>
            </a:r>
          </a:p>
        </xdr:txBody>
      </xdr:sp>
      <xdr:sp macro="" textlink="">
        <xdr:nvSpPr>
          <xdr:cNvPr id="19" name="TextBox 18">
            <a:extLst>
              <a:ext uri="{FF2B5EF4-FFF2-40B4-BE49-F238E27FC236}">
                <a16:creationId xmlns:a16="http://schemas.microsoft.com/office/drawing/2014/main" id="{00000000-0008-0000-0400-000013000000}"/>
              </a:ext>
            </a:extLst>
          </xdr:cNvPr>
          <xdr:cNvSpPr txBox="1"/>
        </xdr:nvSpPr>
        <xdr:spPr>
          <a:xfrm>
            <a:off x="4626491" y="10443701"/>
            <a:ext cx="2487532" cy="381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Styret</a:t>
            </a:r>
            <a:r>
              <a:rPr lang="da-DK" sz="900" baseline="0">
                <a:solidFill>
                  <a:sysClr val="windowText" lastClr="000000"/>
                </a:solidFill>
              </a:rPr>
              <a:t> og målbar</a:t>
            </a:r>
            <a:endParaRPr lang="da-DK" sz="900">
              <a:solidFill>
                <a:sysClr val="windowText" lastClr="000000"/>
              </a:solidFill>
            </a:endParaRPr>
          </a:p>
        </xdr:txBody>
      </xdr:sp>
    </xdr:grpSp>
    <xdr:clientData/>
  </xdr:twoCellAnchor>
  <xdr:twoCellAnchor>
    <xdr:from>
      <xdr:col>12</xdr:col>
      <xdr:colOff>455083</xdr:colOff>
      <xdr:row>41</xdr:row>
      <xdr:rowOff>2420</xdr:rowOff>
    </xdr:from>
    <xdr:to>
      <xdr:col>21</xdr:col>
      <xdr:colOff>973667</xdr:colOff>
      <xdr:row>63</xdr:row>
      <xdr:rowOff>29635</xdr:rowOff>
    </xdr:to>
    <xdr:graphicFrame macro="">
      <xdr:nvGraphicFramePr>
        <xdr:cNvPr id="20" name="Chart2.">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54729</xdr:colOff>
      <xdr:row>71</xdr:row>
      <xdr:rowOff>23586</xdr:rowOff>
    </xdr:from>
    <xdr:to>
      <xdr:col>10</xdr:col>
      <xdr:colOff>994833</xdr:colOff>
      <xdr:row>93</xdr:row>
      <xdr:rowOff>176592</xdr:rowOff>
    </xdr:to>
    <xdr:graphicFrame macro="">
      <xdr:nvGraphicFramePr>
        <xdr:cNvPr id="30" name="Chart4.">
          <a:extLst>
            <a:ext uri="{FF2B5EF4-FFF2-40B4-BE49-F238E27FC236}">
              <a16:creationId xmlns:a16="http://schemas.microsoft.com/office/drawing/2014/main" id="{00000000-0008-0000-04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275166</xdr:colOff>
      <xdr:row>71</xdr:row>
      <xdr:rowOff>2419</xdr:rowOff>
    </xdr:from>
    <xdr:to>
      <xdr:col>21</xdr:col>
      <xdr:colOff>701526</xdr:colOff>
      <xdr:row>93</xdr:row>
      <xdr:rowOff>172359</xdr:rowOff>
    </xdr:to>
    <xdr:graphicFrame macro="">
      <xdr:nvGraphicFramePr>
        <xdr:cNvPr id="31" name="Chart5.">
          <a:extLst>
            <a:ext uri="{FF2B5EF4-FFF2-40B4-BE49-F238E27FC236}">
              <a16:creationId xmlns:a16="http://schemas.microsoft.com/office/drawing/2014/main"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16630</xdr:colOff>
      <xdr:row>101</xdr:row>
      <xdr:rowOff>19050</xdr:rowOff>
    </xdr:from>
    <xdr:to>
      <xdr:col>12</xdr:col>
      <xdr:colOff>423332</xdr:colOff>
      <xdr:row>124</xdr:row>
      <xdr:rowOff>11190</xdr:rowOff>
    </xdr:to>
    <xdr:graphicFrame macro="">
      <xdr:nvGraphicFramePr>
        <xdr:cNvPr id="32" name="Chart6.">
          <a:extLst>
            <a:ext uri="{FF2B5EF4-FFF2-40B4-BE49-F238E27FC236}">
              <a16:creationId xmlns:a16="http://schemas.microsoft.com/office/drawing/2014/main" id="{00000000-0008-0000-04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656166</xdr:colOff>
      <xdr:row>101</xdr:row>
      <xdr:rowOff>29633</xdr:rowOff>
    </xdr:from>
    <xdr:to>
      <xdr:col>21</xdr:col>
      <xdr:colOff>752326</xdr:colOff>
      <xdr:row>123</xdr:row>
      <xdr:rowOff>153006</xdr:rowOff>
    </xdr:to>
    <xdr:graphicFrame macro="">
      <xdr:nvGraphicFramePr>
        <xdr:cNvPr id="33" name="Chart7.">
          <a:extLst>
            <a:ext uri="{FF2B5EF4-FFF2-40B4-BE49-F238E27FC236}">
              <a16:creationId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82247</xdr:colOff>
      <xdr:row>131</xdr:row>
      <xdr:rowOff>16933</xdr:rowOff>
    </xdr:from>
    <xdr:to>
      <xdr:col>12</xdr:col>
      <xdr:colOff>338666</xdr:colOff>
      <xdr:row>154</xdr:row>
      <xdr:rowOff>13306</xdr:rowOff>
    </xdr:to>
    <xdr:graphicFrame macro="">
      <xdr:nvGraphicFramePr>
        <xdr:cNvPr id="34" name="Chart8.">
          <a:extLst>
            <a:ext uri="{FF2B5EF4-FFF2-40B4-BE49-F238E27FC236}">
              <a16:creationId xmlns:a16="http://schemas.microsoft.com/office/drawing/2014/main" id="{00000000-0008-0000-04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677332</xdr:colOff>
      <xdr:row>131</xdr:row>
      <xdr:rowOff>10583</xdr:rowOff>
    </xdr:from>
    <xdr:to>
      <xdr:col>21</xdr:col>
      <xdr:colOff>812195</xdr:colOff>
      <xdr:row>154</xdr:row>
      <xdr:rowOff>6956</xdr:rowOff>
    </xdr:to>
    <xdr:graphicFrame macro="">
      <xdr:nvGraphicFramePr>
        <xdr:cNvPr id="24" name="Chart8.">
          <a:extLst>
            <a:ext uri="{FF2B5EF4-FFF2-40B4-BE49-F238E27FC236}">
              <a16:creationId xmlns:a16="http://schemas.microsoft.com/office/drawing/2014/main" id="{290C89D7-2FEE-42A9-8295-1CE0908A8E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198059</xdr:colOff>
      <xdr:row>162</xdr:row>
      <xdr:rowOff>9071</xdr:rowOff>
    </xdr:from>
    <xdr:to>
      <xdr:col>18</xdr:col>
      <xdr:colOff>155726</xdr:colOff>
      <xdr:row>184</xdr:row>
      <xdr:rowOff>68036</xdr:rowOff>
    </xdr:to>
    <xdr:graphicFrame macro="">
      <xdr:nvGraphicFramePr>
        <xdr:cNvPr id="25" name="Chart8.">
          <a:extLst>
            <a:ext uri="{FF2B5EF4-FFF2-40B4-BE49-F238E27FC236}">
              <a16:creationId xmlns:a16="http://schemas.microsoft.com/office/drawing/2014/main" id="{7AEFA408-B7E5-4888-BAB6-5CC0FAA545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3</xdr:row>
      <xdr:rowOff>31749</xdr:rowOff>
    </xdr:from>
    <xdr:to>
      <xdr:col>21</xdr:col>
      <xdr:colOff>993321</xdr:colOff>
      <xdr:row>26</xdr:row>
      <xdr:rowOff>176892</xdr:rowOff>
    </xdr:to>
    <xdr:graphicFrame macro="">
      <xdr:nvGraphicFramePr>
        <xdr:cNvPr id="11" name="Diagra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257025</xdr:colOff>
      <xdr:row>6</xdr:row>
      <xdr:rowOff>68042</xdr:rowOff>
    </xdr:from>
    <xdr:to>
      <xdr:col>4</xdr:col>
      <xdr:colOff>718048</xdr:colOff>
      <xdr:row>18</xdr:row>
      <xdr:rowOff>95253</xdr:rowOff>
    </xdr:to>
    <xdr:grpSp>
      <xdr:nvGrpSpPr>
        <xdr:cNvPr id="5" name="Group 4">
          <a:extLst>
            <a:ext uri="{FF2B5EF4-FFF2-40B4-BE49-F238E27FC236}">
              <a16:creationId xmlns:a16="http://schemas.microsoft.com/office/drawing/2014/main" id="{00000000-0008-0000-0400-000005000000}"/>
            </a:ext>
          </a:extLst>
        </xdr:cNvPr>
        <xdr:cNvGrpSpPr/>
      </xdr:nvGrpSpPr>
      <xdr:grpSpPr>
        <a:xfrm>
          <a:off x="2655084" y="1636866"/>
          <a:ext cx="2253964" cy="2313211"/>
          <a:chOff x="10635587" y="7325286"/>
          <a:chExt cx="1606291" cy="1534334"/>
        </a:xfrm>
      </xdr:grpSpPr>
      <xdr:grpSp>
        <xdr:nvGrpSpPr>
          <xdr:cNvPr id="2" name="Group 1">
            <a:extLst>
              <a:ext uri="{FF2B5EF4-FFF2-40B4-BE49-F238E27FC236}">
                <a16:creationId xmlns:a16="http://schemas.microsoft.com/office/drawing/2014/main" id="{00000000-0008-0000-0400-000002000000}"/>
              </a:ext>
            </a:extLst>
          </xdr:cNvPr>
          <xdr:cNvGrpSpPr/>
        </xdr:nvGrpSpPr>
        <xdr:grpSpPr>
          <a:xfrm>
            <a:off x="10635587" y="7325286"/>
            <a:ext cx="1606291" cy="1382331"/>
            <a:chOff x="10587962" y="5029761"/>
            <a:chExt cx="1606291" cy="1382331"/>
          </a:xfrm>
        </xdr:grpSpPr>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0587962" y="5613473"/>
              <a:ext cx="1606291" cy="214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000">
                  <a:solidFill>
                    <a:schemeClr val="tx1">
                      <a:lumMod val="75000"/>
                      <a:lumOff val="25000"/>
                    </a:schemeClr>
                  </a:solidFill>
                </a:rPr>
                <a:t>Procesunderstøttet</a:t>
              </a:r>
            </a:p>
          </xdr:txBody>
        </xdr:sp>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0587962" y="5905328"/>
              <a:ext cx="1147351" cy="214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000">
                  <a:solidFill>
                    <a:schemeClr val="tx1">
                      <a:lumMod val="75000"/>
                      <a:lumOff val="25000"/>
                    </a:schemeClr>
                  </a:solidFill>
                </a:rPr>
                <a:t>Gentaget</a:t>
              </a:r>
            </a:p>
          </xdr:txBody>
        </xdr:sp>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0597645" y="6197185"/>
              <a:ext cx="1147351" cy="214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000">
                  <a:solidFill>
                    <a:schemeClr val="tx1">
                      <a:lumMod val="75000"/>
                      <a:lumOff val="25000"/>
                    </a:schemeClr>
                  </a:solidFill>
                </a:rPr>
                <a:t>Ad-hoc</a:t>
              </a:r>
            </a:p>
          </xdr:txBody>
        </xdr:sp>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0587962" y="5029761"/>
              <a:ext cx="1147351" cy="214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000">
                  <a:solidFill>
                    <a:schemeClr val="tx1">
                      <a:lumMod val="75000"/>
                      <a:lumOff val="25000"/>
                    </a:schemeClr>
                  </a:solidFill>
                </a:rPr>
                <a:t>Optimeret</a:t>
              </a:r>
            </a:p>
          </xdr:txBody>
        </xdr:sp>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10587962" y="5321617"/>
              <a:ext cx="1497020" cy="214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000">
                  <a:solidFill>
                    <a:schemeClr val="tx1">
                      <a:lumMod val="75000"/>
                      <a:lumOff val="25000"/>
                    </a:schemeClr>
                  </a:solidFill>
                </a:rPr>
                <a:t>Styret</a:t>
              </a:r>
              <a:r>
                <a:rPr lang="da-DK" sz="1000" baseline="0">
                  <a:solidFill>
                    <a:schemeClr val="tx1">
                      <a:lumMod val="75000"/>
                      <a:lumOff val="25000"/>
                    </a:schemeClr>
                  </a:solidFill>
                </a:rPr>
                <a:t> og målbar</a:t>
              </a:r>
              <a:endParaRPr lang="da-DK" sz="1000">
                <a:solidFill>
                  <a:schemeClr val="tx1">
                    <a:lumMod val="75000"/>
                    <a:lumOff val="25000"/>
                  </a:schemeClr>
                </a:solidFill>
              </a:endParaRPr>
            </a:p>
          </xdr:txBody>
        </xdr:sp>
      </xdr:grpSp>
      <xdr:cxnSp macro="">
        <xdr:nvCxnSpPr>
          <xdr:cNvPr id="4" name="Straight Connector 3">
            <a:extLst>
              <a:ext uri="{FF2B5EF4-FFF2-40B4-BE49-F238E27FC236}">
                <a16:creationId xmlns:a16="http://schemas.microsoft.com/office/drawing/2014/main" id="{00000000-0008-0000-0400-000004000000}"/>
              </a:ext>
            </a:extLst>
          </xdr:cNvPr>
          <xdr:cNvCxnSpPr/>
        </xdr:nvCxnSpPr>
        <xdr:spPr>
          <a:xfrm flipV="1">
            <a:off x="10636662" y="7334309"/>
            <a:ext cx="1" cy="1525311"/>
          </a:xfrm>
          <a:prstGeom prst="line">
            <a:avLst/>
          </a:prstGeom>
          <a:ln>
            <a:solidFill>
              <a:schemeClr val="bg1">
                <a:lumMod val="50000"/>
                <a:alpha val="73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40821</xdr:colOff>
      <xdr:row>44</xdr:row>
      <xdr:rowOff>121428</xdr:rowOff>
    </xdr:from>
    <xdr:to>
      <xdr:col>15</xdr:col>
      <xdr:colOff>177106</xdr:colOff>
      <xdr:row>57</xdr:row>
      <xdr:rowOff>35820</xdr:rowOff>
    </xdr:to>
    <xdr:grpSp>
      <xdr:nvGrpSpPr>
        <xdr:cNvPr id="329" name="Group 328"/>
        <xdr:cNvGrpSpPr/>
      </xdr:nvGrpSpPr>
      <xdr:grpSpPr>
        <a:xfrm>
          <a:off x="10014056" y="10217928"/>
          <a:ext cx="1368932" cy="2390892"/>
          <a:chOff x="4307416" y="9970278"/>
          <a:chExt cx="2806611" cy="2390892"/>
        </a:xfrm>
      </xdr:grpSpPr>
      <xdr:sp macro="" textlink="">
        <xdr:nvSpPr>
          <xdr:cNvPr id="330" name="TextBox 329">
            <a:extLst>
              <a:ext uri="{FF2B5EF4-FFF2-40B4-BE49-F238E27FC236}">
                <a16:creationId xmlns:a16="http://schemas.microsoft.com/office/drawing/2014/main" id="{00000000-0008-0000-0400-00000E000000}"/>
              </a:ext>
            </a:extLst>
          </xdr:cNvPr>
          <xdr:cNvSpPr txBox="1"/>
        </xdr:nvSpPr>
        <xdr:spPr>
          <a:xfrm>
            <a:off x="4307416" y="10978529"/>
            <a:ext cx="2806609" cy="409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Procesunderstøttet</a:t>
            </a:r>
          </a:p>
        </xdr:txBody>
      </xdr:sp>
      <xdr:sp macro="" textlink="">
        <xdr:nvSpPr>
          <xdr:cNvPr id="331" name="TextBox 330">
            <a:extLst>
              <a:ext uri="{FF2B5EF4-FFF2-40B4-BE49-F238E27FC236}">
                <a16:creationId xmlns:a16="http://schemas.microsoft.com/office/drawing/2014/main" id="{00000000-0008-0000-0400-00000F000000}"/>
              </a:ext>
            </a:extLst>
          </xdr:cNvPr>
          <xdr:cNvSpPr txBox="1"/>
        </xdr:nvSpPr>
        <xdr:spPr>
          <a:xfrm>
            <a:off x="5264647" y="11541817"/>
            <a:ext cx="1849378" cy="333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Gentaget</a:t>
            </a:r>
          </a:p>
        </xdr:txBody>
      </xdr:sp>
      <xdr:sp macro="" textlink="">
        <xdr:nvSpPr>
          <xdr:cNvPr id="332" name="TextBox 331">
            <a:extLst>
              <a:ext uri="{FF2B5EF4-FFF2-40B4-BE49-F238E27FC236}">
                <a16:creationId xmlns:a16="http://schemas.microsoft.com/office/drawing/2014/main" id="{00000000-0008-0000-0400-000011000000}"/>
              </a:ext>
            </a:extLst>
          </xdr:cNvPr>
          <xdr:cNvSpPr txBox="1"/>
        </xdr:nvSpPr>
        <xdr:spPr>
          <a:xfrm>
            <a:off x="5604999" y="12028818"/>
            <a:ext cx="1509028" cy="332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Ad-hoc</a:t>
            </a:r>
          </a:p>
        </xdr:txBody>
      </xdr:sp>
      <xdr:sp macro="" textlink="">
        <xdr:nvSpPr>
          <xdr:cNvPr id="333" name="TextBox 332">
            <a:extLst>
              <a:ext uri="{FF2B5EF4-FFF2-40B4-BE49-F238E27FC236}">
                <a16:creationId xmlns:a16="http://schemas.microsoft.com/office/drawing/2014/main" id="{00000000-0008-0000-0400-000012000000}"/>
              </a:ext>
            </a:extLst>
          </xdr:cNvPr>
          <xdr:cNvSpPr txBox="1"/>
        </xdr:nvSpPr>
        <xdr:spPr>
          <a:xfrm>
            <a:off x="4860485" y="9970278"/>
            <a:ext cx="2253541" cy="32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Optimeret</a:t>
            </a:r>
          </a:p>
        </xdr:txBody>
      </xdr:sp>
      <xdr:sp macro="" textlink="">
        <xdr:nvSpPr>
          <xdr:cNvPr id="334" name="TextBox 333">
            <a:extLst>
              <a:ext uri="{FF2B5EF4-FFF2-40B4-BE49-F238E27FC236}">
                <a16:creationId xmlns:a16="http://schemas.microsoft.com/office/drawing/2014/main" id="{00000000-0008-0000-0400-000013000000}"/>
              </a:ext>
            </a:extLst>
          </xdr:cNvPr>
          <xdr:cNvSpPr txBox="1"/>
        </xdr:nvSpPr>
        <xdr:spPr>
          <a:xfrm>
            <a:off x="4626491" y="10443701"/>
            <a:ext cx="2487532" cy="381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Styret</a:t>
            </a:r>
            <a:r>
              <a:rPr lang="da-DK" sz="900" baseline="0">
                <a:solidFill>
                  <a:sysClr val="windowText" lastClr="000000"/>
                </a:solidFill>
              </a:rPr>
              <a:t> og målbar</a:t>
            </a:r>
            <a:endParaRPr lang="da-DK" sz="900">
              <a:solidFill>
                <a:sysClr val="windowText" lastClr="000000"/>
              </a:solidFill>
            </a:endParaRPr>
          </a:p>
        </xdr:txBody>
      </xdr:sp>
    </xdr:grpSp>
    <xdr:clientData/>
  </xdr:twoCellAnchor>
  <xdr:twoCellAnchor>
    <xdr:from>
      <xdr:col>2</xdr:col>
      <xdr:colOff>234043</xdr:colOff>
      <xdr:row>74</xdr:row>
      <xdr:rowOff>136071</xdr:rowOff>
    </xdr:from>
    <xdr:to>
      <xdr:col>3</xdr:col>
      <xdr:colOff>57363</xdr:colOff>
      <xdr:row>88</xdr:row>
      <xdr:rowOff>52148</xdr:rowOff>
    </xdr:to>
    <xdr:grpSp>
      <xdr:nvGrpSpPr>
        <xdr:cNvPr id="335" name="Group 334"/>
        <xdr:cNvGrpSpPr/>
      </xdr:nvGrpSpPr>
      <xdr:grpSpPr>
        <a:xfrm>
          <a:off x="2632102" y="16597512"/>
          <a:ext cx="1235261" cy="2594283"/>
          <a:chOff x="4307416" y="9970278"/>
          <a:chExt cx="2806611" cy="2390892"/>
        </a:xfrm>
      </xdr:grpSpPr>
      <xdr:sp macro="" textlink="">
        <xdr:nvSpPr>
          <xdr:cNvPr id="336" name="TextBox 335">
            <a:extLst>
              <a:ext uri="{FF2B5EF4-FFF2-40B4-BE49-F238E27FC236}">
                <a16:creationId xmlns:a16="http://schemas.microsoft.com/office/drawing/2014/main" id="{00000000-0008-0000-0400-00000E000000}"/>
              </a:ext>
            </a:extLst>
          </xdr:cNvPr>
          <xdr:cNvSpPr txBox="1"/>
        </xdr:nvSpPr>
        <xdr:spPr>
          <a:xfrm>
            <a:off x="4307416" y="10978529"/>
            <a:ext cx="2806609" cy="409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Procesunderstøttet</a:t>
            </a:r>
          </a:p>
        </xdr:txBody>
      </xdr:sp>
      <xdr:sp macro="" textlink="">
        <xdr:nvSpPr>
          <xdr:cNvPr id="337" name="TextBox 336">
            <a:extLst>
              <a:ext uri="{FF2B5EF4-FFF2-40B4-BE49-F238E27FC236}">
                <a16:creationId xmlns:a16="http://schemas.microsoft.com/office/drawing/2014/main" id="{00000000-0008-0000-0400-00000F000000}"/>
              </a:ext>
            </a:extLst>
          </xdr:cNvPr>
          <xdr:cNvSpPr txBox="1"/>
        </xdr:nvSpPr>
        <xdr:spPr>
          <a:xfrm>
            <a:off x="5264647" y="11541817"/>
            <a:ext cx="1849378" cy="333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Gentaget</a:t>
            </a:r>
          </a:p>
        </xdr:txBody>
      </xdr:sp>
      <xdr:sp macro="" textlink="">
        <xdr:nvSpPr>
          <xdr:cNvPr id="338" name="TextBox 337">
            <a:extLst>
              <a:ext uri="{FF2B5EF4-FFF2-40B4-BE49-F238E27FC236}">
                <a16:creationId xmlns:a16="http://schemas.microsoft.com/office/drawing/2014/main" id="{00000000-0008-0000-0400-000011000000}"/>
              </a:ext>
            </a:extLst>
          </xdr:cNvPr>
          <xdr:cNvSpPr txBox="1"/>
        </xdr:nvSpPr>
        <xdr:spPr>
          <a:xfrm>
            <a:off x="5604999" y="12028818"/>
            <a:ext cx="1509028" cy="332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Ad-hoc</a:t>
            </a:r>
          </a:p>
        </xdr:txBody>
      </xdr:sp>
      <xdr:sp macro="" textlink="">
        <xdr:nvSpPr>
          <xdr:cNvPr id="339" name="TextBox 338">
            <a:extLst>
              <a:ext uri="{FF2B5EF4-FFF2-40B4-BE49-F238E27FC236}">
                <a16:creationId xmlns:a16="http://schemas.microsoft.com/office/drawing/2014/main" id="{00000000-0008-0000-0400-000012000000}"/>
              </a:ext>
            </a:extLst>
          </xdr:cNvPr>
          <xdr:cNvSpPr txBox="1"/>
        </xdr:nvSpPr>
        <xdr:spPr>
          <a:xfrm>
            <a:off x="4860485" y="9970278"/>
            <a:ext cx="2253541" cy="32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Optimeret</a:t>
            </a:r>
          </a:p>
        </xdr:txBody>
      </xdr:sp>
      <xdr:sp macro="" textlink="">
        <xdr:nvSpPr>
          <xdr:cNvPr id="340" name="TextBox 339">
            <a:extLst>
              <a:ext uri="{FF2B5EF4-FFF2-40B4-BE49-F238E27FC236}">
                <a16:creationId xmlns:a16="http://schemas.microsoft.com/office/drawing/2014/main" id="{00000000-0008-0000-0400-000013000000}"/>
              </a:ext>
            </a:extLst>
          </xdr:cNvPr>
          <xdr:cNvSpPr txBox="1"/>
        </xdr:nvSpPr>
        <xdr:spPr>
          <a:xfrm>
            <a:off x="4626491" y="10443701"/>
            <a:ext cx="2487532" cy="381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Styret</a:t>
            </a:r>
            <a:r>
              <a:rPr lang="da-DK" sz="900" baseline="0">
                <a:solidFill>
                  <a:sysClr val="windowText" lastClr="000000"/>
                </a:solidFill>
              </a:rPr>
              <a:t> og målbar</a:t>
            </a:r>
            <a:endParaRPr lang="da-DK" sz="900">
              <a:solidFill>
                <a:sysClr val="windowText" lastClr="000000"/>
              </a:solidFill>
            </a:endParaRPr>
          </a:p>
        </xdr:txBody>
      </xdr:sp>
    </xdr:grpSp>
    <xdr:clientData/>
  </xdr:twoCellAnchor>
  <xdr:twoCellAnchor>
    <xdr:from>
      <xdr:col>12</xdr:col>
      <xdr:colOff>386443</xdr:colOff>
      <xdr:row>74</xdr:row>
      <xdr:rowOff>95249</xdr:rowOff>
    </xdr:from>
    <xdr:to>
      <xdr:col>14</xdr:col>
      <xdr:colOff>522727</xdr:colOff>
      <xdr:row>87</xdr:row>
      <xdr:rowOff>190940</xdr:rowOff>
    </xdr:to>
    <xdr:grpSp>
      <xdr:nvGrpSpPr>
        <xdr:cNvPr id="341" name="Group 340"/>
        <xdr:cNvGrpSpPr/>
      </xdr:nvGrpSpPr>
      <xdr:grpSpPr>
        <a:xfrm>
          <a:off x="9508031" y="16556690"/>
          <a:ext cx="1368931" cy="2572191"/>
          <a:chOff x="4307416" y="9970278"/>
          <a:chExt cx="2806611" cy="2390892"/>
        </a:xfrm>
      </xdr:grpSpPr>
      <xdr:sp macro="" textlink="">
        <xdr:nvSpPr>
          <xdr:cNvPr id="342" name="TextBox 341">
            <a:extLst>
              <a:ext uri="{FF2B5EF4-FFF2-40B4-BE49-F238E27FC236}">
                <a16:creationId xmlns:a16="http://schemas.microsoft.com/office/drawing/2014/main" id="{00000000-0008-0000-0400-00000E000000}"/>
              </a:ext>
            </a:extLst>
          </xdr:cNvPr>
          <xdr:cNvSpPr txBox="1"/>
        </xdr:nvSpPr>
        <xdr:spPr>
          <a:xfrm>
            <a:off x="4307416" y="10978529"/>
            <a:ext cx="2806609" cy="409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Procesunderstøttet</a:t>
            </a:r>
          </a:p>
        </xdr:txBody>
      </xdr:sp>
      <xdr:sp macro="" textlink="">
        <xdr:nvSpPr>
          <xdr:cNvPr id="343" name="TextBox 342">
            <a:extLst>
              <a:ext uri="{FF2B5EF4-FFF2-40B4-BE49-F238E27FC236}">
                <a16:creationId xmlns:a16="http://schemas.microsoft.com/office/drawing/2014/main" id="{00000000-0008-0000-0400-00000F000000}"/>
              </a:ext>
            </a:extLst>
          </xdr:cNvPr>
          <xdr:cNvSpPr txBox="1"/>
        </xdr:nvSpPr>
        <xdr:spPr>
          <a:xfrm>
            <a:off x="5264647" y="11541817"/>
            <a:ext cx="1849378" cy="333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Gentaget</a:t>
            </a:r>
          </a:p>
        </xdr:txBody>
      </xdr:sp>
      <xdr:sp macro="" textlink="">
        <xdr:nvSpPr>
          <xdr:cNvPr id="344" name="TextBox 343">
            <a:extLst>
              <a:ext uri="{FF2B5EF4-FFF2-40B4-BE49-F238E27FC236}">
                <a16:creationId xmlns:a16="http://schemas.microsoft.com/office/drawing/2014/main" id="{00000000-0008-0000-0400-000011000000}"/>
              </a:ext>
            </a:extLst>
          </xdr:cNvPr>
          <xdr:cNvSpPr txBox="1"/>
        </xdr:nvSpPr>
        <xdr:spPr>
          <a:xfrm>
            <a:off x="5604999" y="12028818"/>
            <a:ext cx="1509028" cy="332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Ad-hoc</a:t>
            </a:r>
          </a:p>
        </xdr:txBody>
      </xdr:sp>
      <xdr:sp macro="" textlink="">
        <xdr:nvSpPr>
          <xdr:cNvPr id="345" name="TextBox 344">
            <a:extLst>
              <a:ext uri="{FF2B5EF4-FFF2-40B4-BE49-F238E27FC236}">
                <a16:creationId xmlns:a16="http://schemas.microsoft.com/office/drawing/2014/main" id="{00000000-0008-0000-0400-000012000000}"/>
              </a:ext>
            </a:extLst>
          </xdr:cNvPr>
          <xdr:cNvSpPr txBox="1"/>
        </xdr:nvSpPr>
        <xdr:spPr>
          <a:xfrm>
            <a:off x="4860485" y="9970278"/>
            <a:ext cx="2253541" cy="32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Optimeret</a:t>
            </a:r>
          </a:p>
        </xdr:txBody>
      </xdr:sp>
      <xdr:sp macro="" textlink="">
        <xdr:nvSpPr>
          <xdr:cNvPr id="346" name="TextBox 345">
            <a:extLst>
              <a:ext uri="{FF2B5EF4-FFF2-40B4-BE49-F238E27FC236}">
                <a16:creationId xmlns:a16="http://schemas.microsoft.com/office/drawing/2014/main" id="{00000000-0008-0000-0400-000013000000}"/>
              </a:ext>
            </a:extLst>
          </xdr:cNvPr>
          <xdr:cNvSpPr txBox="1"/>
        </xdr:nvSpPr>
        <xdr:spPr>
          <a:xfrm>
            <a:off x="4626491" y="10443701"/>
            <a:ext cx="2487532" cy="381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Styret</a:t>
            </a:r>
            <a:r>
              <a:rPr lang="da-DK" sz="900" baseline="0">
                <a:solidFill>
                  <a:sysClr val="windowText" lastClr="000000"/>
                </a:solidFill>
              </a:rPr>
              <a:t> og målbar</a:t>
            </a:r>
            <a:endParaRPr lang="da-DK" sz="900">
              <a:solidFill>
                <a:sysClr val="windowText" lastClr="000000"/>
              </a:solidFill>
            </a:endParaRPr>
          </a:p>
        </xdr:txBody>
      </xdr:sp>
    </xdr:grpSp>
    <xdr:clientData/>
  </xdr:twoCellAnchor>
  <xdr:twoCellAnchor>
    <xdr:from>
      <xdr:col>2</xdr:col>
      <xdr:colOff>484415</xdr:colOff>
      <xdr:row>104</xdr:row>
      <xdr:rowOff>13608</xdr:rowOff>
    </xdr:from>
    <xdr:to>
      <xdr:col>3</xdr:col>
      <xdr:colOff>307735</xdr:colOff>
      <xdr:row>115</xdr:row>
      <xdr:rowOff>125627</xdr:rowOff>
    </xdr:to>
    <xdr:grpSp>
      <xdr:nvGrpSpPr>
        <xdr:cNvPr id="347" name="Group 346"/>
        <xdr:cNvGrpSpPr/>
      </xdr:nvGrpSpPr>
      <xdr:grpSpPr>
        <a:xfrm>
          <a:off x="2882474" y="22716726"/>
          <a:ext cx="1235261" cy="2207519"/>
          <a:chOff x="4307416" y="9970278"/>
          <a:chExt cx="2806611" cy="2390892"/>
        </a:xfrm>
      </xdr:grpSpPr>
      <xdr:sp macro="" textlink="">
        <xdr:nvSpPr>
          <xdr:cNvPr id="348" name="TextBox 347">
            <a:extLst>
              <a:ext uri="{FF2B5EF4-FFF2-40B4-BE49-F238E27FC236}">
                <a16:creationId xmlns:a16="http://schemas.microsoft.com/office/drawing/2014/main" id="{00000000-0008-0000-0400-00000E000000}"/>
              </a:ext>
            </a:extLst>
          </xdr:cNvPr>
          <xdr:cNvSpPr txBox="1"/>
        </xdr:nvSpPr>
        <xdr:spPr>
          <a:xfrm>
            <a:off x="4307416" y="10978529"/>
            <a:ext cx="2806609" cy="409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Procesunderstøttet</a:t>
            </a:r>
          </a:p>
        </xdr:txBody>
      </xdr:sp>
      <xdr:sp macro="" textlink="">
        <xdr:nvSpPr>
          <xdr:cNvPr id="349" name="TextBox 348">
            <a:extLst>
              <a:ext uri="{FF2B5EF4-FFF2-40B4-BE49-F238E27FC236}">
                <a16:creationId xmlns:a16="http://schemas.microsoft.com/office/drawing/2014/main" id="{00000000-0008-0000-0400-00000F000000}"/>
              </a:ext>
            </a:extLst>
          </xdr:cNvPr>
          <xdr:cNvSpPr txBox="1"/>
        </xdr:nvSpPr>
        <xdr:spPr>
          <a:xfrm>
            <a:off x="5264647" y="11541817"/>
            <a:ext cx="1849378" cy="333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Gentaget</a:t>
            </a:r>
          </a:p>
        </xdr:txBody>
      </xdr:sp>
      <xdr:sp macro="" textlink="">
        <xdr:nvSpPr>
          <xdr:cNvPr id="350" name="TextBox 349">
            <a:extLst>
              <a:ext uri="{FF2B5EF4-FFF2-40B4-BE49-F238E27FC236}">
                <a16:creationId xmlns:a16="http://schemas.microsoft.com/office/drawing/2014/main" id="{00000000-0008-0000-0400-000011000000}"/>
              </a:ext>
            </a:extLst>
          </xdr:cNvPr>
          <xdr:cNvSpPr txBox="1"/>
        </xdr:nvSpPr>
        <xdr:spPr>
          <a:xfrm>
            <a:off x="5604999" y="12028818"/>
            <a:ext cx="1509028" cy="332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Ad-hoc</a:t>
            </a:r>
          </a:p>
        </xdr:txBody>
      </xdr:sp>
      <xdr:sp macro="" textlink="">
        <xdr:nvSpPr>
          <xdr:cNvPr id="351" name="TextBox 350">
            <a:extLst>
              <a:ext uri="{FF2B5EF4-FFF2-40B4-BE49-F238E27FC236}">
                <a16:creationId xmlns:a16="http://schemas.microsoft.com/office/drawing/2014/main" id="{00000000-0008-0000-0400-000012000000}"/>
              </a:ext>
            </a:extLst>
          </xdr:cNvPr>
          <xdr:cNvSpPr txBox="1"/>
        </xdr:nvSpPr>
        <xdr:spPr>
          <a:xfrm>
            <a:off x="4860485" y="9970278"/>
            <a:ext cx="2253541" cy="32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Optimeret</a:t>
            </a:r>
          </a:p>
        </xdr:txBody>
      </xdr:sp>
      <xdr:sp macro="" textlink="">
        <xdr:nvSpPr>
          <xdr:cNvPr id="352" name="TextBox 351">
            <a:extLst>
              <a:ext uri="{FF2B5EF4-FFF2-40B4-BE49-F238E27FC236}">
                <a16:creationId xmlns:a16="http://schemas.microsoft.com/office/drawing/2014/main" id="{00000000-0008-0000-0400-000013000000}"/>
              </a:ext>
            </a:extLst>
          </xdr:cNvPr>
          <xdr:cNvSpPr txBox="1"/>
        </xdr:nvSpPr>
        <xdr:spPr>
          <a:xfrm>
            <a:off x="4626491" y="10443701"/>
            <a:ext cx="2487532" cy="381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Styret</a:t>
            </a:r>
            <a:r>
              <a:rPr lang="da-DK" sz="900" baseline="0">
                <a:solidFill>
                  <a:sysClr val="windowText" lastClr="000000"/>
                </a:solidFill>
              </a:rPr>
              <a:t> og målbar</a:t>
            </a:r>
            <a:endParaRPr lang="da-DK" sz="900">
              <a:solidFill>
                <a:sysClr val="windowText" lastClr="000000"/>
              </a:solidFill>
            </a:endParaRPr>
          </a:p>
        </xdr:txBody>
      </xdr:sp>
    </xdr:grpSp>
    <xdr:clientData/>
  </xdr:twoCellAnchor>
  <xdr:twoCellAnchor>
    <xdr:from>
      <xdr:col>13</xdr:col>
      <xdr:colOff>92529</xdr:colOff>
      <xdr:row>104</xdr:row>
      <xdr:rowOff>16328</xdr:rowOff>
    </xdr:from>
    <xdr:to>
      <xdr:col>15</xdr:col>
      <xdr:colOff>228814</xdr:colOff>
      <xdr:row>115</xdr:row>
      <xdr:rowOff>128347</xdr:rowOff>
    </xdr:to>
    <xdr:grpSp>
      <xdr:nvGrpSpPr>
        <xdr:cNvPr id="353" name="Group 352"/>
        <xdr:cNvGrpSpPr/>
      </xdr:nvGrpSpPr>
      <xdr:grpSpPr>
        <a:xfrm>
          <a:off x="10065764" y="22719446"/>
          <a:ext cx="1368932" cy="2207519"/>
          <a:chOff x="4307416" y="9970278"/>
          <a:chExt cx="2806611" cy="2390892"/>
        </a:xfrm>
      </xdr:grpSpPr>
      <xdr:sp macro="" textlink="">
        <xdr:nvSpPr>
          <xdr:cNvPr id="354" name="TextBox 353">
            <a:extLst>
              <a:ext uri="{FF2B5EF4-FFF2-40B4-BE49-F238E27FC236}">
                <a16:creationId xmlns:a16="http://schemas.microsoft.com/office/drawing/2014/main" id="{00000000-0008-0000-0400-00000E000000}"/>
              </a:ext>
            </a:extLst>
          </xdr:cNvPr>
          <xdr:cNvSpPr txBox="1"/>
        </xdr:nvSpPr>
        <xdr:spPr>
          <a:xfrm>
            <a:off x="4307416" y="10978529"/>
            <a:ext cx="2806609" cy="409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Procesunderstøttet</a:t>
            </a:r>
          </a:p>
        </xdr:txBody>
      </xdr:sp>
      <xdr:sp macro="" textlink="">
        <xdr:nvSpPr>
          <xdr:cNvPr id="355" name="TextBox 354">
            <a:extLst>
              <a:ext uri="{FF2B5EF4-FFF2-40B4-BE49-F238E27FC236}">
                <a16:creationId xmlns:a16="http://schemas.microsoft.com/office/drawing/2014/main" id="{00000000-0008-0000-0400-00000F000000}"/>
              </a:ext>
            </a:extLst>
          </xdr:cNvPr>
          <xdr:cNvSpPr txBox="1"/>
        </xdr:nvSpPr>
        <xdr:spPr>
          <a:xfrm>
            <a:off x="5264647" y="11541817"/>
            <a:ext cx="1849378" cy="333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Gentaget</a:t>
            </a:r>
          </a:p>
        </xdr:txBody>
      </xdr:sp>
      <xdr:sp macro="" textlink="">
        <xdr:nvSpPr>
          <xdr:cNvPr id="356" name="TextBox 355">
            <a:extLst>
              <a:ext uri="{FF2B5EF4-FFF2-40B4-BE49-F238E27FC236}">
                <a16:creationId xmlns:a16="http://schemas.microsoft.com/office/drawing/2014/main" id="{00000000-0008-0000-0400-000011000000}"/>
              </a:ext>
            </a:extLst>
          </xdr:cNvPr>
          <xdr:cNvSpPr txBox="1"/>
        </xdr:nvSpPr>
        <xdr:spPr>
          <a:xfrm>
            <a:off x="5604999" y="12028818"/>
            <a:ext cx="1509028" cy="332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Ad-hoc</a:t>
            </a:r>
          </a:p>
        </xdr:txBody>
      </xdr:sp>
      <xdr:sp macro="" textlink="">
        <xdr:nvSpPr>
          <xdr:cNvPr id="357" name="TextBox 356">
            <a:extLst>
              <a:ext uri="{FF2B5EF4-FFF2-40B4-BE49-F238E27FC236}">
                <a16:creationId xmlns:a16="http://schemas.microsoft.com/office/drawing/2014/main" id="{00000000-0008-0000-0400-000012000000}"/>
              </a:ext>
            </a:extLst>
          </xdr:cNvPr>
          <xdr:cNvSpPr txBox="1"/>
        </xdr:nvSpPr>
        <xdr:spPr>
          <a:xfrm>
            <a:off x="4860485" y="9970278"/>
            <a:ext cx="2253541" cy="32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Optimeret</a:t>
            </a:r>
          </a:p>
        </xdr:txBody>
      </xdr:sp>
      <xdr:sp macro="" textlink="">
        <xdr:nvSpPr>
          <xdr:cNvPr id="358" name="TextBox 357">
            <a:extLst>
              <a:ext uri="{FF2B5EF4-FFF2-40B4-BE49-F238E27FC236}">
                <a16:creationId xmlns:a16="http://schemas.microsoft.com/office/drawing/2014/main" id="{00000000-0008-0000-0400-000013000000}"/>
              </a:ext>
            </a:extLst>
          </xdr:cNvPr>
          <xdr:cNvSpPr txBox="1"/>
        </xdr:nvSpPr>
        <xdr:spPr>
          <a:xfrm>
            <a:off x="4626491" y="10443701"/>
            <a:ext cx="2487532" cy="381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Styret</a:t>
            </a:r>
            <a:r>
              <a:rPr lang="da-DK" sz="900" baseline="0">
                <a:solidFill>
                  <a:sysClr val="windowText" lastClr="000000"/>
                </a:solidFill>
              </a:rPr>
              <a:t> og målbar</a:t>
            </a:r>
            <a:endParaRPr lang="da-DK" sz="900">
              <a:solidFill>
                <a:sysClr val="windowText" lastClr="000000"/>
              </a:solidFill>
            </a:endParaRPr>
          </a:p>
        </xdr:txBody>
      </xdr:sp>
    </xdr:grpSp>
    <xdr:clientData/>
  </xdr:twoCellAnchor>
  <xdr:twoCellAnchor>
    <xdr:from>
      <xdr:col>13</xdr:col>
      <xdr:colOff>114564</xdr:colOff>
      <xdr:row>134</xdr:row>
      <xdr:rowOff>108857</xdr:rowOff>
    </xdr:from>
    <xdr:to>
      <xdr:col>15</xdr:col>
      <xdr:colOff>250848</xdr:colOff>
      <xdr:row>145</xdr:row>
      <xdr:rowOff>8603</xdr:rowOff>
    </xdr:to>
    <xdr:grpSp>
      <xdr:nvGrpSpPr>
        <xdr:cNvPr id="359" name="Group 358"/>
        <xdr:cNvGrpSpPr/>
      </xdr:nvGrpSpPr>
      <xdr:grpSpPr>
        <a:xfrm>
          <a:off x="10087799" y="29064857"/>
          <a:ext cx="1368931" cy="1995246"/>
          <a:chOff x="4998751" y="9970278"/>
          <a:chExt cx="2806610" cy="2390892"/>
        </a:xfrm>
      </xdr:grpSpPr>
      <xdr:sp macro="" textlink="">
        <xdr:nvSpPr>
          <xdr:cNvPr id="360" name="TextBox 359">
            <a:extLst>
              <a:ext uri="{FF2B5EF4-FFF2-40B4-BE49-F238E27FC236}">
                <a16:creationId xmlns:a16="http://schemas.microsoft.com/office/drawing/2014/main" id="{00000000-0008-0000-0400-00000E000000}"/>
              </a:ext>
            </a:extLst>
          </xdr:cNvPr>
          <xdr:cNvSpPr txBox="1"/>
        </xdr:nvSpPr>
        <xdr:spPr>
          <a:xfrm>
            <a:off x="4998751" y="10978529"/>
            <a:ext cx="2806610" cy="409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Procesunderstøttet</a:t>
            </a:r>
          </a:p>
        </xdr:txBody>
      </xdr:sp>
      <xdr:sp macro="" textlink="">
        <xdr:nvSpPr>
          <xdr:cNvPr id="361" name="TextBox 360">
            <a:extLst>
              <a:ext uri="{FF2B5EF4-FFF2-40B4-BE49-F238E27FC236}">
                <a16:creationId xmlns:a16="http://schemas.microsoft.com/office/drawing/2014/main" id="{00000000-0008-0000-0400-00000F000000}"/>
              </a:ext>
            </a:extLst>
          </xdr:cNvPr>
          <xdr:cNvSpPr txBox="1"/>
        </xdr:nvSpPr>
        <xdr:spPr>
          <a:xfrm>
            <a:off x="5955983" y="11541817"/>
            <a:ext cx="1849378" cy="333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Gentaget</a:t>
            </a:r>
          </a:p>
        </xdr:txBody>
      </xdr:sp>
      <xdr:sp macro="" textlink="">
        <xdr:nvSpPr>
          <xdr:cNvPr id="362" name="TextBox 361">
            <a:extLst>
              <a:ext uri="{FF2B5EF4-FFF2-40B4-BE49-F238E27FC236}">
                <a16:creationId xmlns:a16="http://schemas.microsoft.com/office/drawing/2014/main" id="{00000000-0008-0000-0400-000011000000}"/>
              </a:ext>
            </a:extLst>
          </xdr:cNvPr>
          <xdr:cNvSpPr txBox="1"/>
        </xdr:nvSpPr>
        <xdr:spPr>
          <a:xfrm>
            <a:off x="6296333" y="12028818"/>
            <a:ext cx="1509028" cy="332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Ad-hoc</a:t>
            </a:r>
          </a:p>
        </xdr:txBody>
      </xdr:sp>
      <xdr:sp macro="" textlink="">
        <xdr:nvSpPr>
          <xdr:cNvPr id="363" name="TextBox 362">
            <a:extLst>
              <a:ext uri="{FF2B5EF4-FFF2-40B4-BE49-F238E27FC236}">
                <a16:creationId xmlns:a16="http://schemas.microsoft.com/office/drawing/2014/main" id="{00000000-0008-0000-0400-000012000000}"/>
              </a:ext>
            </a:extLst>
          </xdr:cNvPr>
          <xdr:cNvSpPr txBox="1"/>
        </xdr:nvSpPr>
        <xdr:spPr>
          <a:xfrm>
            <a:off x="5551819" y="9970278"/>
            <a:ext cx="2253542" cy="32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Optimeret</a:t>
            </a:r>
          </a:p>
        </xdr:txBody>
      </xdr:sp>
      <xdr:sp macro="" textlink="">
        <xdr:nvSpPr>
          <xdr:cNvPr id="364" name="TextBox 363">
            <a:extLst>
              <a:ext uri="{FF2B5EF4-FFF2-40B4-BE49-F238E27FC236}">
                <a16:creationId xmlns:a16="http://schemas.microsoft.com/office/drawing/2014/main" id="{00000000-0008-0000-0400-000013000000}"/>
              </a:ext>
            </a:extLst>
          </xdr:cNvPr>
          <xdr:cNvSpPr txBox="1"/>
        </xdr:nvSpPr>
        <xdr:spPr>
          <a:xfrm>
            <a:off x="5317829" y="10443701"/>
            <a:ext cx="2487532" cy="381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Styret</a:t>
            </a:r>
            <a:r>
              <a:rPr lang="da-DK" sz="900" baseline="0">
                <a:solidFill>
                  <a:sysClr val="windowText" lastClr="000000"/>
                </a:solidFill>
              </a:rPr>
              <a:t> og målbar</a:t>
            </a:r>
            <a:endParaRPr lang="da-DK" sz="900">
              <a:solidFill>
                <a:sysClr val="windowText" lastClr="000000"/>
              </a:solidFill>
            </a:endParaRPr>
          </a:p>
        </xdr:txBody>
      </xdr:sp>
    </xdr:grpSp>
    <xdr:clientData/>
  </xdr:twoCellAnchor>
  <xdr:twoCellAnchor>
    <xdr:from>
      <xdr:col>2</xdr:col>
      <xdr:colOff>669472</xdr:colOff>
      <xdr:row>134</xdr:row>
      <xdr:rowOff>43543</xdr:rowOff>
    </xdr:from>
    <xdr:to>
      <xdr:col>4</xdr:col>
      <xdr:colOff>111792</xdr:colOff>
      <xdr:row>144</xdr:row>
      <xdr:rowOff>133789</xdr:rowOff>
    </xdr:to>
    <xdr:grpSp>
      <xdr:nvGrpSpPr>
        <xdr:cNvPr id="365" name="Group 364"/>
        <xdr:cNvGrpSpPr/>
      </xdr:nvGrpSpPr>
      <xdr:grpSpPr>
        <a:xfrm>
          <a:off x="3067531" y="28999543"/>
          <a:ext cx="1235261" cy="1995246"/>
          <a:chOff x="4307416" y="9970278"/>
          <a:chExt cx="2806611" cy="2390892"/>
        </a:xfrm>
      </xdr:grpSpPr>
      <xdr:sp macro="" textlink="">
        <xdr:nvSpPr>
          <xdr:cNvPr id="366" name="TextBox 365">
            <a:extLst>
              <a:ext uri="{FF2B5EF4-FFF2-40B4-BE49-F238E27FC236}">
                <a16:creationId xmlns:a16="http://schemas.microsoft.com/office/drawing/2014/main" id="{00000000-0008-0000-0400-00000E000000}"/>
              </a:ext>
            </a:extLst>
          </xdr:cNvPr>
          <xdr:cNvSpPr txBox="1"/>
        </xdr:nvSpPr>
        <xdr:spPr>
          <a:xfrm>
            <a:off x="4307416" y="10978529"/>
            <a:ext cx="2806609" cy="409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Procesunderstøttet</a:t>
            </a:r>
          </a:p>
        </xdr:txBody>
      </xdr:sp>
      <xdr:sp macro="" textlink="">
        <xdr:nvSpPr>
          <xdr:cNvPr id="367" name="TextBox 366">
            <a:extLst>
              <a:ext uri="{FF2B5EF4-FFF2-40B4-BE49-F238E27FC236}">
                <a16:creationId xmlns:a16="http://schemas.microsoft.com/office/drawing/2014/main" id="{00000000-0008-0000-0400-00000F000000}"/>
              </a:ext>
            </a:extLst>
          </xdr:cNvPr>
          <xdr:cNvSpPr txBox="1"/>
        </xdr:nvSpPr>
        <xdr:spPr>
          <a:xfrm>
            <a:off x="5264647" y="11541817"/>
            <a:ext cx="1849378" cy="333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Gentaget</a:t>
            </a:r>
          </a:p>
        </xdr:txBody>
      </xdr:sp>
      <xdr:sp macro="" textlink="">
        <xdr:nvSpPr>
          <xdr:cNvPr id="368" name="TextBox 367">
            <a:extLst>
              <a:ext uri="{FF2B5EF4-FFF2-40B4-BE49-F238E27FC236}">
                <a16:creationId xmlns:a16="http://schemas.microsoft.com/office/drawing/2014/main" id="{00000000-0008-0000-0400-000011000000}"/>
              </a:ext>
            </a:extLst>
          </xdr:cNvPr>
          <xdr:cNvSpPr txBox="1"/>
        </xdr:nvSpPr>
        <xdr:spPr>
          <a:xfrm>
            <a:off x="5604999" y="12028818"/>
            <a:ext cx="1509028" cy="332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Ad-hoc</a:t>
            </a:r>
          </a:p>
        </xdr:txBody>
      </xdr:sp>
      <xdr:sp macro="" textlink="">
        <xdr:nvSpPr>
          <xdr:cNvPr id="369" name="TextBox 368">
            <a:extLst>
              <a:ext uri="{FF2B5EF4-FFF2-40B4-BE49-F238E27FC236}">
                <a16:creationId xmlns:a16="http://schemas.microsoft.com/office/drawing/2014/main" id="{00000000-0008-0000-0400-000012000000}"/>
              </a:ext>
            </a:extLst>
          </xdr:cNvPr>
          <xdr:cNvSpPr txBox="1"/>
        </xdr:nvSpPr>
        <xdr:spPr>
          <a:xfrm>
            <a:off x="4860485" y="9970278"/>
            <a:ext cx="2253541" cy="32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Optimeret</a:t>
            </a:r>
          </a:p>
        </xdr:txBody>
      </xdr:sp>
      <xdr:sp macro="" textlink="">
        <xdr:nvSpPr>
          <xdr:cNvPr id="370" name="TextBox 369">
            <a:extLst>
              <a:ext uri="{FF2B5EF4-FFF2-40B4-BE49-F238E27FC236}">
                <a16:creationId xmlns:a16="http://schemas.microsoft.com/office/drawing/2014/main" id="{00000000-0008-0000-0400-000013000000}"/>
              </a:ext>
            </a:extLst>
          </xdr:cNvPr>
          <xdr:cNvSpPr txBox="1"/>
        </xdr:nvSpPr>
        <xdr:spPr>
          <a:xfrm>
            <a:off x="4626491" y="10443701"/>
            <a:ext cx="2487532" cy="381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Styret</a:t>
            </a:r>
            <a:r>
              <a:rPr lang="da-DK" sz="900" baseline="0">
                <a:solidFill>
                  <a:sysClr val="windowText" lastClr="000000"/>
                </a:solidFill>
              </a:rPr>
              <a:t> og målbar</a:t>
            </a:r>
            <a:endParaRPr lang="da-DK" sz="900">
              <a:solidFill>
                <a:sysClr val="windowText" lastClr="000000"/>
              </a:solidFill>
            </a:endParaRPr>
          </a:p>
        </xdr:txBody>
      </xdr:sp>
    </xdr:grpSp>
    <xdr:clientData/>
  </xdr:twoCellAnchor>
  <xdr:twoCellAnchor>
    <xdr:from>
      <xdr:col>7</xdr:col>
      <xdr:colOff>87086</xdr:colOff>
      <xdr:row>165</xdr:row>
      <xdr:rowOff>163286</xdr:rowOff>
    </xdr:from>
    <xdr:to>
      <xdr:col>9</xdr:col>
      <xdr:colOff>223371</xdr:colOff>
      <xdr:row>174</xdr:row>
      <xdr:rowOff>136506</xdr:rowOff>
    </xdr:to>
    <xdr:grpSp>
      <xdr:nvGrpSpPr>
        <xdr:cNvPr id="371" name="Group 370"/>
        <xdr:cNvGrpSpPr/>
      </xdr:nvGrpSpPr>
      <xdr:grpSpPr>
        <a:xfrm>
          <a:off x="6362380" y="35461815"/>
          <a:ext cx="1368932" cy="1687720"/>
          <a:chOff x="4307416" y="9970278"/>
          <a:chExt cx="2806611" cy="2390892"/>
        </a:xfrm>
      </xdr:grpSpPr>
      <xdr:sp macro="" textlink="">
        <xdr:nvSpPr>
          <xdr:cNvPr id="372" name="TextBox 371">
            <a:extLst>
              <a:ext uri="{FF2B5EF4-FFF2-40B4-BE49-F238E27FC236}">
                <a16:creationId xmlns:a16="http://schemas.microsoft.com/office/drawing/2014/main" id="{00000000-0008-0000-0400-00000E000000}"/>
              </a:ext>
            </a:extLst>
          </xdr:cNvPr>
          <xdr:cNvSpPr txBox="1"/>
        </xdr:nvSpPr>
        <xdr:spPr>
          <a:xfrm>
            <a:off x="4307416" y="10978528"/>
            <a:ext cx="2806609" cy="409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Procesunderstøttet</a:t>
            </a:r>
          </a:p>
        </xdr:txBody>
      </xdr:sp>
      <xdr:sp macro="" textlink="">
        <xdr:nvSpPr>
          <xdr:cNvPr id="373" name="TextBox 372">
            <a:extLst>
              <a:ext uri="{FF2B5EF4-FFF2-40B4-BE49-F238E27FC236}">
                <a16:creationId xmlns:a16="http://schemas.microsoft.com/office/drawing/2014/main" id="{00000000-0008-0000-0400-00000F000000}"/>
              </a:ext>
            </a:extLst>
          </xdr:cNvPr>
          <xdr:cNvSpPr txBox="1"/>
        </xdr:nvSpPr>
        <xdr:spPr>
          <a:xfrm>
            <a:off x="5264647" y="11541817"/>
            <a:ext cx="1849378" cy="333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Gentaget</a:t>
            </a:r>
          </a:p>
        </xdr:txBody>
      </xdr:sp>
      <xdr:sp macro="" textlink="">
        <xdr:nvSpPr>
          <xdr:cNvPr id="374" name="TextBox 373">
            <a:extLst>
              <a:ext uri="{FF2B5EF4-FFF2-40B4-BE49-F238E27FC236}">
                <a16:creationId xmlns:a16="http://schemas.microsoft.com/office/drawing/2014/main" id="{00000000-0008-0000-0400-000011000000}"/>
              </a:ext>
            </a:extLst>
          </xdr:cNvPr>
          <xdr:cNvSpPr txBox="1"/>
        </xdr:nvSpPr>
        <xdr:spPr>
          <a:xfrm>
            <a:off x="5604999" y="12028818"/>
            <a:ext cx="1509028" cy="332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Ad-hoc</a:t>
            </a:r>
          </a:p>
        </xdr:txBody>
      </xdr:sp>
      <xdr:sp macro="" textlink="">
        <xdr:nvSpPr>
          <xdr:cNvPr id="375" name="TextBox 374">
            <a:extLst>
              <a:ext uri="{FF2B5EF4-FFF2-40B4-BE49-F238E27FC236}">
                <a16:creationId xmlns:a16="http://schemas.microsoft.com/office/drawing/2014/main" id="{00000000-0008-0000-0400-000012000000}"/>
              </a:ext>
            </a:extLst>
          </xdr:cNvPr>
          <xdr:cNvSpPr txBox="1"/>
        </xdr:nvSpPr>
        <xdr:spPr>
          <a:xfrm>
            <a:off x="4860485" y="9970278"/>
            <a:ext cx="2253541" cy="32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Optimeret</a:t>
            </a:r>
          </a:p>
        </xdr:txBody>
      </xdr:sp>
      <xdr:sp macro="" textlink="">
        <xdr:nvSpPr>
          <xdr:cNvPr id="376" name="TextBox 375">
            <a:extLst>
              <a:ext uri="{FF2B5EF4-FFF2-40B4-BE49-F238E27FC236}">
                <a16:creationId xmlns:a16="http://schemas.microsoft.com/office/drawing/2014/main" id="{00000000-0008-0000-0400-000013000000}"/>
              </a:ext>
            </a:extLst>
          </xdr:cNvPr>
          <xdr:cNvSpPr txBox="1"/>
        </xdr:nvSpPr>
        <xdr:spPr>
          <a:xfrm>
            <a:off x="4626492" y="10443703"/>
            <a:ext cx="2487531" cy="381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900">
                <a:solidFill>
                  <a:sysClr val="windowText" lastClr="000000"/>
                </a:solidFill>
              </a:rPr>
              <a:t>Styret</a:t>
            </a:r>
            <a:r>
              <a:rPr lang="da-DK" sz="900" baseline="0">
                <a:solidFill>
                  <a:sysClr val="windowText" lastClr="000000"/>
                </a:solidFill>
              </a:rPr>
              <a:t> og målbar</a:t>
            </a:r>
            <a:endParaRPr lang="da-DK" sz="900">
              <a:solidFill>
                <a:sysClr val="windowText" lastClr="000000"/>
              </a:solidFill>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674160</xdr:colOff>
      <xdr:row>0</xdr:row>
      <xdr:rowOff>258234</xdr:rowOff>
    </xdr:from>
    <xdr:to>
      <xdr:col>4</xdr:col>
      <xdr:colOff>486227</xdr:colOff>
      <xdr:row>2</xdr:row>
      <xdr:rowOff>129310</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860" y="258234"/>
          <a:ext cx="4041167" cy="795001"/>
        </a:xfrm>
        <a:prstGeom prst="rect">
          <a:avLst/>
        </a:prstGeom>
        <a:solidFill>
          <a:schemeClr val="accent2"/>
        </a:solid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67</xdr:col>
      <xdr:colOff>437242</xdr:colOff>
      <xdr:row>2</xdr:row>
      <xdr:rowOff>59872</xdr:rowOff>
    </xdr:from>
    <xdr:to>
      <xdr:col>77</xdr:col>
      <xdr:colOff>500743</xdr:colOff>
      <xdr:row>28</xdr:row>
      <xdr:rowOff>24674</xdr:rowOff>
    </xdr:to>
    <xdr:graphicFrame macro="">
      <xdr:nvGraphicFramePr>
        <xdr:cNvPr id="4" name="Masterformatting">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38553</xdr:colOff>
      <xdr:row>26</xdr:row>
      <xdr:rowOff>176891</xdr:rowOff>
    </xdr:from>
    <xdr:to>
      <xdr:col>15</xdr:col>
      <xdr:colOff>816428</xdr:colOff>
      <xdr:row>67</xdr:row>
      <xdr:rowOff>149678</xdr:rowOff>
    </xdr:to>
    <xdr:sp macro="" textlink="">
      <xdr:nvSpPr>
        <xdr:cNvPr id="2" name="TextBox 1">
          <a:extLst>
            <a:ext uri="{FF2B5EF4-FFF2-40B4-BE49-F238E27FC236}">
              <a16:creationId xmlns:a16="http://schemas.microsoft.com/office/drawing/2014/main" id="{38EC5415-B976-4A0C-959F-0BED02FB4D55}"/>
            </a:ext>
          </a:extLst>
        </xdr:cNvPr>
        <xdr:cNvSpPr txBox="1"/>
      </xdr:nvSpPr>
      <xdr:spPr>
        <a:xfrm>
          <a:off x="2528660" y="5129891"/>
          <a:ext cx="10942411" cy="77832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800" b="1">
              <a:latin typeface="Garamond" panose="02020404030301010803" pitchFamily="18" charset="0"/>
            </a:rPr>
            <a:t>Vejledning til indsættelse af nyt ministerie</a:t>
          </a:r>
        </a:p>
        <a:p>
          <a:endParaRPr lang="da-DK" sz="1800" b="0">
            <a:latin typeface="Garamond" panose="02020404030301010803" pitchFamily="18" charset="0"/>
          </a:endParaRPr>
        </a:p>
        <a:p>
          <a:r>
            <a:rPr lang="da-DK" sz="1800" b="0">
              <a:latin typeface="Garamond" panose="02020404030301010803" pitchFamily="18" charset="0"/>
            </a:rPr>
            <a:t>1. Først tilføjelse i tabellen "Ministerium" et nyt ministerområde (kolonne B).</a:t>
          </a:r>
        </a:p>
        <a:p>
          <a:r>
            <a:rPr lang="da-DK" sz="1800" b="0">
              <a:latin typeface="Garamond" panose="02020404030301010803" pitchFamily="18" charset="0"/>
            </a:rPr>
            <a:t>2. Herefter udfyldes tabeloverskriften i tilsvarende tabel (Min_1, Min_2 eller Min_3,</a:t>
          </a:r>
          <a:r>
            <a:rPr lang="da-DK" sz="1800" b="0" baseline="0">
              <a:latin typeface="Garamond" panose="02020404030301010803" pitchFamily="18" charset="0"/>
            </a:rPr>
            <a:t> kolonne T til X) med samme navn som indsat i tablellen Ministerium. Desuden udfyldes tilhørende institutioner i tabellerne (Min_1, Min_2 eller Min_3). Vær opmærksom på, at tabellen følger med, hvilket kan ses ved farveformatteringen. Dette bør ske automatisk ved udfyldelse af fortløbende felter.</a:t>
          </a:r>
        </a:p>
        <a:p>
          <a:r>
            <a:rPr lang="da-DK" sz="1800" b="0" baseline="0">
              <a:latin typeface="Garamond" panose="02020404030301010803" pitchFamily="18" charset="0"/>
            </a:rPr>
            <a:t>3. Til sidst skal det bagvedliggende tabelnavn ændres. Dette gøres ved at gå til "Formulas" --&gt; "Name Manager".</a:t>
          </a:r>
        </a:p>
        <a:p>
          <a:r>
            <a:rPr lang="da-DK" sz="1800" b="0" baseline="0">
              <a:latin typeface="Garamond" panose="02020404030301010803" pitchFamily="18" charset="0"/>
            </a:rPr>
            <a:t>Her findes den tilsvarende tabel for den tabel man har erstattet i kolonne T til X. Har man erstattet "Min_1" skal man i Name Manager vælge "Ministerie_1". </a:t>
          </a:r>
          <a:r>
            <a:rPr lang="da-DK" sz="1800" b="1" baseline="0">
              <a:latin typeface="Garamond" panose="02020404030301010803" pitchFamily="18" charset="0"/>
            </a:rPr>
            <a:t>OBS: </a:t>
          </a:r>
          <a:r>
            <a:rPr lang="da-DK" sz="1800" b="0" baseline="0">
              <a:latin typeface="Garamond" panose="02020404030301010803" pitchFamily="18" charset="0"/>
            </a:rPr>
            <a:t>Det er vigtigt at man vælger "Ministerie_1" og IKKE "Min_1"!</a:t>
          </a:r>
        </a:p>
        <a:p>
          <a:r>
            <a:rPr lang="da-DK" sz="1800" b="0" baseline="0">
              <a:latin typeface="Garamond" panose="02020404030301010803" pitchFamily="18" charset="0"/>
            </a:rPr>
            <a:t>Her vælges "Edit", hvorefter navnet for tabellen ændres til navnet på det nye ministerie efter følgende procedure:</a:t>
          </a:r>
        </a:p>
        <a:p>
          <a:r>
            <a:rPr lang="da-DK" sz="1800" b="0" baseline="0">
              <a:latin typeface="Garamond" panose="02020404030301010803" pitchFamily="18" charset="0"/>
            </a:rPr>
            <a:t>- Alle mellemrum (" "), kommaer (",") og bindestreger ("-") pilles ud af navnet. Fx. bliver "Transport-, Bygnings- og Boligministeriet" til "TransportBygningsogBoligministeriet".</a:t>
          </a:r>
        </a:p>
        <a:p>
          <a:r>
            <a:rPr lang="da-DK" sz="1800" b="0" baseline="0">
              <a:latin typeface="Garamond" panose="02020404030301010803" pitchFamily="18" charset="0"/>
            </a:rPr>
            <a:t>4. Herefter gemmes og navnelisten er opdateret og klar til brug.</a:t>
          </a:r>
        </a:p>
        <a:p>
          <a:endParaRPr lang="da-DK" sz="1800" b="1" baseline="0">
            <a:latin typeface="Garamond" panose="02020404030301010803" pitchFamily="18" charset="0"/>
          </a:endParaRPr>
        </a:p>
        <a:p>
          <a:r>
            <a:rPr lang="da-DK" sz="1800" b="1">
              <a:latin typeface="Garamond" panose="02020404030301010803" pitchFamily="18" charset="0"/>
            </a:rPr>
            <a:t>Vejledning til ændring af nuværende ministerie</a:t>
          </a:r>
        </a:p>
        <a:p>
          <a:r>
            <a:rPr lang="da-DK" sz="1800" b="0">
              <a:latin typeface="Garamond" panose="02020404030301010803" pitchFamily="18" charset="0"/>
            </a:rPr>
            <a:t>1.</a:t>
          </a:r>
          <a:r>
            <a:rPr lang="da-DK" sz="1800" b="0" baseline="0">
              <a:latin typeface="Garamond" panose="02020404030301010803" pitchFamily="18" charset="0"/>
            </a:rPr>
            <a:t> Hvis et ministerie har skiftet navn og man ændrer i tabellen "Ministerium" i kolonne B, skal man huske at ændre navnet på ministeriet i den tabel, som institutionerne fremgår af (i øverste celle)</a:t>
          </a:r>
        </a:p>
        <a:p>
          <a:r>
            <a:rPr lang="da-DK" sz="1800" b="0" baseline="0">
              <a:latin typeface="Garamond" panose="02020404030301010803" pitchFamily="18" charset="0"/>
            </a:rPr>
            <a:t>2. Herefter foretages rettelse af tabelnavn i "Name Manager" efter sammen princip som oprettelse af nyt ministerie.</a:t>
          </a:r>
        </a:p>
        <a:p>
          <a:r>
            <a:rPr lang="da-DK" sz="1800" b="0">
              <a:latin typeface="Garamond" panose="02020404030301010803" pitchFamily="18" charset="0"/>
            </a:rPr>
            <a:t>Dette gøres ved at gå til "Formulas" --&gt; "Name Manager".</a:t>
          </a:r>
        </a:p>
        <a:p>
          <a:r>
            <a:rPr lang="da-DK" sz="1800" b="0">
              <a:latin typeface="Garamond" panose="02020404030301010803" pitchFamily="18" charset="0"/>
            </a:rPr>
            <a:t>Her findes den tilsvarende tabel for det ministerie, man har ændret navn på. Har man erstattet "Transport-, Bygnings- og Boligministeriet" skal man i Name Manager vælge "TransportBygningsogBoligministeriet" OBS: Det er vigtigt at man vælger den tabel, som ikke har "#REF"</a:t>
          </a:r>
          <a:r>
            <a:rPr lang="da-DK" sz="1800" b="0" baseline="0">
              <a:latin typeface="Garamond" panose="02020404030301010803" pitchFamily="18" charset="0"/>
            </a:rPr>
            <a:t> i kolonnen "Value".</a:t>
          </a:r>
          <a:endParaRPr lang="da-DK" sz="1800" b="0">
            <a:latin typeface="Garamond" panose="02020404030301010803" pitchFamily="18" charset="0"/>
          </a:endParaRPr>
        </a:p>
        <a:p>
          <a:r>
            <a:rPr lang="da-DK" sz="1800" b="0">
              <a:latin typeface="Garamond" panose="02020404030301010803" pitchFamily="18" charset="0"/>
            </a:rPr>
            <a:t>Her vælges "Edit", hvorefter navnet for tabellen ændres til det nye</a:t>
          </a:r>
          <a:r>
            <a:rPr lang="da-DK" sz="1800" b="0" baseline="0">
              <a:latin typeface="Garamond" panose="02020404030301010803" pitchFamily="18" charset="0"/>
            </a:rPr>
            <a:t> navn</a:t>
          </a:r>
          <a:r>
            <a:rPr lang="da-DK" sz="1800" b="0">
              <a:latin typeface="Garamond" panose="02020404030301010803" pitchFamily="18" charset="0"/>
            </a:rPr>
            <a:t> på ministeriet efter følgende procedure:</a:t>
          </a:r>
        </a:p>
        <a:p>
          <a:r>
            <a:rPr lang="da-DK" sz="1800" b="0">
              <a:latin typeface="Garamond" panose="02020404030301010803" pitchFamily="18" charset="0"/>
            </a:rPr>
            <a:t>- Alle mellemrum (" "), kommaer (",") og bindestreger ("-") pilles ud af navnet. Fx. bliver "Transport-, Bygnings- og Boligministeriet" til "TransportBygningsogBoligministeriet".</a:t>
          </a:r>
        </a:p>
        <a:p>
          <a:r>
            <a:rPr lang="da-DK" sz="1800" b="0">
              <a:latin typeface="Garamond" panose="02020404030301010803" pitchFamily="18" charset="0"/>
            </a:rPr>
            <a:t>4. Herefter gemmes og navnelisten er opdateret og klar til brug.</a:t>
          </a:r>
        </a:p>
        <a:p>
          <a:endParaRPr lang="da-DK" sz="1800" b="0">
            <a:solidFill>
              <a:srgbClr val="940027"/>
            </a:solidFill>
            <a:latin typeface="Garamond" panose="02020404030301010803" pitchFamily="18" charset="0"/>
          </a:endParaRPr>
        </a:p>
        <a:p>
          <a:r>
            <a:rPr lang="da-DK" sz="2400" b="1">
              <a:solidFill>
                <a:srgbClr val="940027"/>
              </a:solidFill>
              <a:latin typeface="Garamond" panose="02020404030301010803" pitchFamily="18" charset="0"/>
            </a:rPr>
            <a:t>OBS: Dette skal foretages i både filen</a:t>
          </a:r>
          <a:r>
            <a:rPr lang="da-DK" sz="2400" b="1" baseline="0">
              <a:solidFill>
                <a:srgbClr val="940027"/>
              </a:solidFill>
              <a:latin typeface="Garamond" panose="02020404030301010803" pitchFamily="18" charset="0"/>
            </a:rPr>
            <a:t> for spørgeskema og for konsolidering!</a:t>
          </a:r>
          <a:endParaRPr lang="da-DK" sz="2400" b="1">
            <a:solidFill>
              <a:srgbClr val="940027"/>
            </a:solidFill>
            <a:latin typeface="Garamond" panose="02020404030301010803"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ehansen/AppData/Local/Microsoft/Windows/INetCache/Content.Outlook/70UUNGE3/Te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0 Forside"/>
      <sheetName val="1 Vejledning"/>
      <sheetName val="2 Spørgeramme "/>
      <sheetName val="3 Opsummering"/>
      <sheetName val="S_InputArk"/>
      <sheetName val="S_Resultater"/>
      <sheetName val="S_Lookupsheet"/>
      <sheetName val="Test"/>
    </sheetNames>
    <sheetDataSet>
      <sheetData sheetId="0" refreshError="1"/>
      <sheetData sheetId="1" refreshError="1"/>
      <sheetData sheetId="2" refreshError="1"/>
      <sheetData sheetId="3">
        <row r="9">
          <cell r="G9" t="str">
            <v>Finansministeriet</v>
          </cell>
        </row>
        <row r="11">
          <cell r="G11" t="str">
            <v>Moderniseringsstyrelsen</v>
          </cell>
        </row>
      </sheetData>
      <sheetData sheetId="4" refreshError="1"/>
      <sheetData sheetId="5"/>
      <sheetData sheetId="6" refreshError="1"/>
      <sheetData sheetId="7"/>
      <sheetData sheetId="8" refreshError="1"/>
    </sheetDataSet>
  </externalBook>
</externalLink>
</file>

<file path=xl/tables/table1.xml><?xml version="1.0" encoding="utf-8"?>
<table xmlns="http://schemas.openxmlformats.org/spreadsheetml/2006/main" id="21" name="Table_Questions" displayName="Table_Questions" ref="H4:L14" totalsRowShown="0" headerRowDxfId="40" dataDxfId="39">
  <autoFilter ref="H4:L14"/>
  <tableColumns count="5">
    <tableColumn id="1" name="Område" dataDxfId="38">
      <calculatedColumnFormula>COUNTA($H$1:H4)&amp;"."</calculatedColumnFormula>
    </tableColumn>
    <tableColumn id="2" name="Titel/Tema" dataDxfId="37"/>
    <tableColumn id="3" name="Forklarende tekst/påstand" dataDxfId="36"/>
    <tableColumn id="4" name="Spm" dataDxfId="35"/>
    <tableColumn id="5" name="Ønsket niveau" dataDxfId="34"/>
  </tableColumns>
  <tableStyleInfo name="TableStyleMedium2" showFirstColumn="0" showLastColumn="0" showRowStripes="1" showColumnStripes="0"/>
</table>
</file>

<file path=xl/tables/table10.xml><?xml version="1.0" encoding="utf-8"?>
<table xmlns="http://schemas.openxmlformats.org/spreadsheetml/2006/main" id="7" name="Table7" displayName="Table7" ref="L1:L6" totalsRowShown="0">
  <autoFilter ref="L1:L6"/>
  <sortState ref="L2:L5">
    <sortCondition ref="L1:L5"/>
  </sortState>
  <tableColumns count="1">
    <tableColumn id="1" name="Finansministeriet"/>
  </tableColumns>
  <tableStyleInfo name="TableStyleMedium2" showFirstColumn="0" showLastColumn="0" showRowStripes="1" showColumnStripes="0"/>
</table>
</file>

<file path=xl/tables/table11.xml><?xml version="1.0" encoding="utf-8"?>
<table xmlns="http://schemas.openxmlformats.org/spreadsheetml/2006/main" id="8" name="Table8" displayName="Table8" ref="N1:N10" totalsRowShown="0">
  <autoFilter ref="N1:N10"/>
  <sortState ref="N2:N10">
    <sortCondition ref="N1:N10"/>
  </sortState>
  <tableColumns count="1">
    <tableColumn id="1" name="Forsvarsministeriet"/>
  </tableColumns>
  <tableStyleInfo name="TableStyleMedium2" showFirstColumn="0" showLastColumn="0" showRowStripes="1" showColumnStripes="0"/>
</table>
</file>

<file path=xl/tables/table12.xml><?xml version="1.0" encoding="utf-8"?>
<table xmlns="http://schemas.openxmlformats.org/spreadsheetml/2006/main" id="9" name="Table9" displayName="Table9" ref="P1:P10" totalsRowShown="0">
  <autoFilter ref="P1:P10"/>
  <sortState ref="P2:P10">
    <sortCondition ref="P1:P10"/>
  </sortState>
  <tableColumns count="1">
    <tableColumn id="1" name="Justitsministeriet"/>
  </tableColumns>
  <tableStyleInfo name="TableStyleMedium2" showFirstColumn="0" showLastColumn="0" showRowStripes="1" showColumnStripes="0"/>
</table>
</file>

<file path=xl/tables/table13.xml><?xml version="1.0" encoding="utf-8"?>
<table xmlns="http://schemas.openxmlformats.org/spreadsheetml/2006/main" id="10" name="Table10" displayName="Table10" ref="R1:R2" totalsRowShown="0">
  <autoFilter ref="R1:R2"/>
  <tableColumns count="1">
    <tableColumn id="1" name="Ministeriet for Kirke, Landdistrikter og Nordisk samarbejde"/>
  </tableColumns>
  <tableStyleInfo name="TableStyleMedium2" showFirstColumn="0" showLastColumn="0" showRowStripes="1" showColumnStripes="0"/>
</table>
</file>

<file path=xl/tables/table14.xml><?xml version="1.0" encoding="utf-8"?>
<table xmlns="http://schemas.openxmlformats.org/spreadsheetml/2006/main" id="11" name="Table11" displayName="Table11" ref="Z1:Z21" totalsRowShown="0">
  <autoFilter ref="Z1:Z21"/>
  <sortState ref="Z2:Z21">
    <sortCondition ref="Z1:Z21"/>
  </sortState>
  <tableColumns count="1">
    <tableColumn id="1" name="Kulturministeriet"/>
  </tableColumns>
  <tableStyleInfo name="TableStyleMedium2" showFirstColumn="0" showLastColumn="0" showRowStripes="1" showColumnStripes="0"/>
</table>
</file>

<file path=xl/tables/table15.xml><?xml version="1.0" encoding="utf-8"?>
<table xmlns="http://schemas.openxmlformats.org/spreadsheetml/2006/main" id="12" name="Table12" displayName="Table12" ref="AB1:AB5" totalsRowShown="0">
  <autoFilter ref="AB1:AB5"/>
  <sortState ref="AB2:AB5">
    <sortCondition ref="AB1:AB5"/>
  </sortState>
  <tableColumns count="1">
    <tableColumn id="1" name="Ministeriet for Fødevarer, Landbrug og Fiskeri"/>
  </tableColumns>
  <tableStyleInfo name="TableStyleMedium2" showFirstColumn="0" showLastColumn="0" showRowStripes="1" showColumnStripes="0"/>
</table>
</file>

<file path=xl/tables/table16.xml><?xml version="1.0" encoding="utf-8"?>
<table xmlns="http://schemas.openxmlformats.org/spreadsheetml/2006/main" id="13" name="Table13" displayName="Table13" ref="AD1:AD11" totalsRowShown="0">
  <autoFilter ref="AD1:AD11"/>
  <sortState ref="AD2:AD11">
    <sortCondition ref="AD1:AD11"/>
  </sortState>
  <tableColumns count="1">
    <tableColumn id="1" name="Skatteministeriet"/>
  </tableColumns>
  <tableStyleInfo name="TableStyleMedium2" showFirstColumn="0" showLastColumn="0" showRowStripes="1" showColumnStripes="0"/>
</table>
</file>

<file path=xl/tables/table17.xml><?xml version="1.0" encoding="utf-8"?>
<table xmlns="http://schemas.openxmlformats.org/spreadsheetml/2006/main" id="14" name="Table14" displayName="Table14" ref="AF1:AF11" totalsRowShown="0">
  <autoFilter ref="AF1:AF11"/>
  <sortState ref="AF2:AF11">
    <sortCondition ref="AF1:AF11"/>
  </sortState>
  <tableColumns count="1">
    <tableColumn id="1" name="Indenrigs- og Sundhedsministeriet"/>
  </tableColumns>
  <tableStyleInfo name="TableStyleMedium2" showFirstColumn="0" showLastColumn="0" showRowStripes="1" showColumnStripes="0"/>
</table>
</file>

<file path=xl/tables/table18.xml><?xml version="1.0" encoding="utf-8"?>
<table xmlns="http://schemas.openxmlformats.org/spreadsheetml/2006/main" id="15" name="Table15" displayName="Table15" ref="AH1:AH10" totalsRowShown="0">
  <autoFilter ref="AH1:AH10"/>
  <sortState ref="AH2:AH10">
    <sortCondition ref="AH1:AH10"/>
  </sortState>
  <tableColumns count="1">
    <tableColumn id="1" name="Transportministeriet"/>
  </tableColumns>
  <tableStyleInfo name="TableStyleMedium2" showFirstColumn="0" showLastColumn="0" showRowStripes="1" showColumnStripes="0"/>
</table>
</file>

<file path=xl/tables/table19.xml><?xml version="1.0" encoding="utf-8"?>
<table xmlns="http://schemas.openxmlformats.org/spreadsheetml/2006/main" id="16" name="Table16" displayName="Table16" ref="AJ1:AJ3" totalsRowShown="0">
  <autoFilter ref="AJ1:AJ3"/>
  <sortState ref="AJ2:AJ3">
    <sortCondition ref="AJ1:AJ3"/>
  </sortState>
  <tableColumns count="1">
    <tableColumn id="1" name="Uddannelses- og Forskningsministeriet"/>
  </tableColumns>
  <tableStyleInfo name="TableStyleMedium2" showFirstColumn="0" showLastColumn="0" showRowStripes="1" showColumnStripes="0"/>
</table>
</file>

<file path=xl/tables/table2.xml><?xml version="1.0" encoding="utf-8"?>
<table xmlns="http://schemas.openxmlformats.org/spreadsheetml/2006/main" id="1" name="Table_Answers" displayName="Table_Answers" ref="N4:P304" totalsRowShown="0" headerRowDxfId="33" dataDxfId="32" tableBorderDxfId="31">
  <autoFilter ref="N4:P304"/>
  <tableColumns count="3">
    <tableColumn id="1" name="Svarnr." dataDxfId="30">
      <calculatedColumnFormula>ROUNDUP(ROW($N1)/30,0)&amp;"."&amp;
CHOOSE(IF(
MOD(ROUNDUP(ROW($N1)/5,0),6)=0,6,MOD(ROUNDUP(ROW($N1)/5,0),6)),"a","b","c","d","e","f")&amp;
IF(MOD(ROW($N1),5)=0,5,MOD(ROW($N1),5))</calculatedColumnFormula>
    </tableColumn>
    <tableColumn id="2" name="Svaralternativ/forklarende tekst" dataDxfId="29"/>
    <tableColumn id="3" name="Hjælpekolonne" dataDxfId="28">
      <calculatedColumnFormula>VLOOKUP(LEFT(RIGHT(S_InputArk!$N5,2),1),Table_Kategorisering[],2,FALSE)&amp;" - "&amp;VLOOKUP(VALUE(RIGHT(S_InputArk!$N5,1)),Table_Modenhedsskala[],2,FALSE)&amp;" - "&amp;VLOOKUP(LEFT(S_InputArk!$N5,LEN(S_InputArk!$N5)-2),Table_Questions[],2,FALSE)</calculatedColumnFormula>
    </tableColumn>
  </tableColumns>
  <tableStyleInfo name="TableStyleMedium2" showFirstColumn="0" showLastColumn="0" showRowStripes="1" showColumnStripes="0"/>
</table>
</file>

<file path=xl/tables/table20.xml><?xml version="1.0" encoding="utf-8"?>
<table xmlns="http://schemas.openxmlformats.org/spreadsheetml/2006/main" id="17" name="Table17" displayName="Table17" ref="AL1:AL3" totalsRowShown="0">
  <autoFilter ref="AL1:AL3"/>
  <tableColumns count="1">
    <tableColumn id="1" name="Udenrigsministeriet"/>
  </tableColumns>
  <tableStyleInfo name="TableStyleMedium2" showFirstColumn="0" showLastColumn="0" showRowStripes="1" showColumnStripes="0"/>
</table>
</file>

<file path=xl/tables/table21.xml><?xml version="1.0" encoding="utf-8"?>
<table xmlns="http://schemas.openxmlformats.org/spreadsheetml/2006/main" id="18" name="Table18" displayName="Table18" ref="AN1:AN5" totalsRowShown="0">
  <autoFilter ref="AN1:AN5"/>
  <sortState ref="AN2:AN5">
    <sortCondition ref="AN1:AN5"/>
  </sortState>
  <tableColumns count="1">
    <tableColumn id="1" name="Udlændinge- og Integrationsministeriet"/>
  </tableColumns>
  <tableStyleInfo name="TableStyleMedium2" showFirstColumn="0" showLastColumn="0" showRowStripes="1" showColumnStripes="0"/>
</table>
</file>

<file path=xl/tables/table22.xml><?xml version="1.0" encoding="utf-8"?>
<table xmlns="http://schemas.openxmlformats.org/spreadsheetml/2006/main" id="19" name="Table19" displayName="Table19" ref="AQ1:AQ6" totalsRowShown="0">
  <autoFilter ref="AQ1:AQ6"/>
  <sortState ref="AQ2:AQ6">
    <sortCondition ref="AQ1:AQ6"/>
  </sortState>
  <tableColumns count="1">
    <tableColumn id="1" name="Børne- og Undervisningsministeriet"/>
  </tableColumns>
  <tableStyleInfo name="TableStyleMedium2" showFirstColumn="0" showLastColumn="0" showRowStripes="1" showColumnStripes="0"/>
</table>
</file>

<file path=xl/tables/table23.xml><?xml version="1.0" encoding="utf-8"?>
<table xmlns="http://schemas.openxmlformats.org/spreadsheetml/2006/main" id="20" name="Table20" displayName="Table20" ref="AS1:AT61" totalsRowShown="0">
  <autoFilter ref="AS1:AT61"/>
  <tableColumns count="2">
    <tableColumn id="1" name="Kolonne1"/>
    <tableColumn id="2" name="Kolonne2"/>
  </tableColumns>
  <tableStyleInfo name="TableStyleMedium2" showFirstColumn="0" showLastColumn="0" showRowStripes="1" showColumnStripes="0"/>
</table>
</file>

<file path=xl/tables/table24.xml><?xml version="1.0" encoding="utf-8"?>
<table xmlns="http://schemas.openxmlformats.org/spreadsheetml/2006/main" id="22" name="Table_Kategorisering" displayName="Table_Kategorisering" ref="AU1:AV55" totalsRowShown="0">
  <autoFilter ref="AU1:AV55"/>
  <tableColumns count="2">
    <tableColumn id="1" name="Bokstav"/>
    <tableColumn id="2" name="ISO-kapitler"/>
  </tableColumns>
  <tableStyleInfo name="TableStyleMedium2" showFirstColumn="0" showLastColumn="0" showRowStripes="1" showColumnStripes="0"/>
</table>
</file>

<file path=xl/tables/table25.xml><?xml version="1.0" encoding="utf-8"?>
<table xmlns="http://schemas.openxmlformats.org/spreadsheetml/2006/main" id="23" name="Table_Modenhedsskala" displayName="Table_Modenhedsskala" ref="AX1:BB10" totalsRowShown="0">
  <autoFilter ref="AX1:BB10"/>
  <tableColumns count="5">
    <tableColumn id="1" name="Nummer"/>
    <tableColumn id="2" name="Modenhedsgrad"/>
    <tableColumn id="3" name="Nummer2"/>
    <tableColumn id="4" name="Spørgeområder"/>
    <tableColumn id="5" name="Kolonne1" dataDxfId="5">
      <calculatedColumnFormula>VLOOKUP('4 Opsummering'!BG2,S_Lookupsheet!DG:DI,3,FALSE)</calculatedColumnFormula>
    </tableColumn>
  </tableColumns>
  <tableStyleInfo name="TableStyleMedium2" showFirstColumn="0" showLastColumn="0" showRowStripes="1" showColumnStripes="0"/>
</table>
</file>

<file path=xl/tables/table26.xml><?xml version="1.0" encoding="utf-8"?>
<table xmlns="http://schemas.openxmlformats.org/spreadsheetml/2006/main" id="30" name="Table_Tekster" displayName="Table_Tekster" ref="BC1:BC3" totalsRowShown="0">
  <autoFilter ref="BC1:BC3"/>
  <tableColumns count="1">
    <tableColumn id="1" name="Tekster"/>
  </tableColumns>
  <tableStyleInfo name="TableStyleMedium2" showFirstColumn="0" showLastColumn="0" showRowStripes="1" showColumnStripes="0"/>
</table>
</file>

<file path=xl/tables/table27.xml><?xml version="1.0" encoding="utf-8"?>
<table xmlns="http://schemas.openxmlformats.org/spreadsheetml/2006/main" id="32" name="Table_Spørgeramme" displayName="Table_Spørgeramme" ref="BE1:BE7" totalsRowShown="0">
  <autoFilter ref="BE1:BE7"/>
  <tableColumns count="1">
    <tableColumn id="1" name="Spørgeramme"/>
  </tableColumns>
  <tableStyleInfo name="TableStyleMedium2" showFirstColumn="0" showLastColumn="0" showRowStripes="1" showColumnStripes="0"/>
</table>
</file>

<file path=xl/tables/table28.xml><?xml version="1.0" encoding="utf-8"?>
<table xmlns="http://schemas.openxmlformats.org/spreadsheetml/2006/main" id="25" name="Min_3" displayName="Min_3" ref="X1:X2" totalsRowShown="0">
  <autoFilter ref="X1:X2"/>
  <tableColumns count="1">
    <tableColumn id="1" name="Ministeriet for Udviklingssamarbejde og Global klimapolitik"/>
  </tableColumns>
  <tableStyleInfo name="TableStyleMedium2" showFirstColumn="0" showLastColumn="0" showRowStripes="1" showColumnStripes="0"/>
</table>
</file>

<file path=xl/tables/table29.xml><?xml version="1.0" encoding="utf-8"?>
<table xmlns="http://schemas.openxmlformats.org/spreadsheetml/2006/main" id="26" name="Økonomiministeriet" displayName="Økonomiministeriet" ref="V1:V3" totalsRowShown="0">
  <autoFilter ref="V1:V3"/>
  <sortState ref="V2:V3">
    <sortCondition ref="V1:V3"/>
  </sortState>
  <tableColumns count="1">
    <tableColumn id="1" name="Økonomiministeriet"/>
  </tableColumns>
  <tableStyleInfo name="TableStyleMedium2" showFirstColumn="0" showLastColumn="0" showRowStripes="1" showColumnStripes="0"/>
</table>
</file>

<file path=xl/tables/table3.xml><?xml version="1.0" encoding="utf-8"?>
<table xmlns="http://schemas.openxmlformats.org/spreadsheetml/2006/main" id="24" name="MasterTable" displayName="MasterTable" ref="A1:L61" totalsRowShown="0" headerRowDxfId="27" dataDxfId="26" tableBorderDxfId="25">
  <autoFilter ref="A1:L61"/>
  <tableColumns count="12">
    <tableColumn id="1" name="Ministerium" dataDxfId="24">
      <calculatedColumnFormula>IF(Ministeriuminput="","",Ministeriuminput)</calculatedColumnFormula>
    </tableColumn>
    <tableColumn id="2" name="Myndighed" dataDxfId="23">
      <calculatedColumnFormula>IF(Styrelse="","",Styrelse)</calculatedColumnFormula>
    </tableColumn>
    <tableColumn id="3" name="Navn" dataDxfId="22">
      <calculatedColumnFormula>IF(Name="","",Name)</calculatedColumnFormula>
    </tableColumn>
    <tableColumn id="4" name="Mail" dataDxfId="21">
      <calculatedColumnFormula>IF(Mail="","",Mail)</calculatedColumnFormula>
    </tableColumn>
    <tableColumn id="5" name="Dato" dataDxfId="20">
      <calculatedColumnFormula>IF(Date="","",Date)</calculatedColumnFormula>
    </tableColumn>
    <tableColumn id="6" name="Spørgeområde" dataDxfId="19">
      <calculatedColumnFormula>VLOOKUP(LEFT(MasterTable[[#All],[Spørgsmål]],LEN(MasterTable[[#This Row],[Spørgsmål]])-1),Table_Questions[#All],2,FALSE)</calculatedColumnFormula>
    </tableColumn>
    <tableColumn id="7" name="Spørgsmål" dataDxfId="18">
      <calculatedColumnFormula>ROUNDUP(ROW(S_InputArk!$N1)/6,0)&amp;"."&amp;CHOOSE(IF(MOD(ROW(S_InputArk!$N1),6)=0,6,MOD(ROW(S_InputArk!$N1),6)),"a","b","c","d","e","f")</calculatedColumnFormula>
    </tableColumn>
    <tableColumn id="8" name="ISO-kapitler" dataDxfId="17">
      <calculatedColumnFormula>VLOOKUP(MasterTable[[#This Row],[Spørgsmål]],S_Lookupsheet!AT:AV,3,FALSE)</calculatedColumnFormula>
    </tableColumn>
    <tableColumn id="9" name="Aktuelt niveau - kvalitetsstyringsprincip" dataDxfId="16">
      <calculatedColumnFormula>INDEX(Table_Modenhedsskala[Nummer],MATCH(VLOOKUP(MasterTable[Spørgsmål],'3 Spørgeramme'!A:N,13,FALSE),Table_Modenhedsskala[Modenhedsgrad],0))</calculatedColumnFormula>
    </tableColumn>
    <tableColumn id="10" name="Overordnet ønsket niveau" dataDxfId="15">
      <calculatedColumnFormula>VLOOKUP(LEFT(MasterTable[[#All],[Spørgsmål]],LEN(MasterTable[[#This Row],[Spørgsmål]])-1),Table_Questions[#All],5,FALSE)</calculatedColumnFormula>
    </tableColumn>
    <tableColumn id="12" name="Egenvurdering af implementering" dataDxfId="14">
      <calculatedColumnFormula>INDEX(Table_Modenhedsskala[Nummer],MATCH(VLOOKUP(LEFT(MasterTable[Spørgsmål],LEN(MasterTable[[#This Row],[Spørgsmål]])-1)&amp;"g",'3 Spørgeramme'!A:N,13,FALSE),Table_Modenhedsskala[Modenhedsgrad],0))</calculatedColumnFormula>
    </tableColumn>
    <tableColumn id="13" name="Ønsket niveau" dataDxfId="13">
      <calculatedColumnFormula>INDEX(Table_Modenhedsskala[Nummer],MATCH(VLOOKUP(LEFT(MasterTable[Spørgsmål],LEN(MasterTable[[#This Row],[Spørgsmål]])-1)&amp;"h",'3 Spørgeramme'!A:N,13,FALSE),Table_Modenhedsskala[Modenhedsgrad],0))</calculatedColumnFormula>
    </tableColumn>
  </tableColumns>
  <tableStyleInfo name="TableStyleMedium2" showFirstColumn="0" showLastColumn="0" showRowStripes="1" showColumnStripes="0"/>
</table>
</file>

<file path=xl/tables/table30.xml><?xml version="1.0" encoding="utf-8"?>
<table xmlns="http://schemas.openxmlformats.org/spreadsheetml/2006/main" id="28" name="Min_1" displayName="Min_1" ref="T1:T4" totalsRowShown="0">
  <autoFilter ref="T1:T4"/>
  <tableColumns count="1">
    <tableColumn id="1" name="Digitaliserings- og Ligestillingsministeriet"/>
  </tableColumns>
  <tableStyleInfo name="TableStyleMedium2" showFirstColumn="0" showLastColumn="0" showRowStripes="1" showColumnStripes="0"/>
</table>
</file>

<file path=xl/tables/table31.xml><?xml version="1.0" encoding="utf-8"?>
<table xmlns="http://schemas.openxmlformats.org/spreadsheetml/2006/main" id="29" name="Miljøministeriet" displayName="Miljøministeriet" ref="AP1:AP4" totalsRowShown="0" headerRowDxfId="4" dataDxfId="2" headerRowBorderDxfId="3" tableBorderDxfId="1">
  <autoFilter ref="AP1:AP4"/>
  <sortState ref="AP2:AP4">
    <sortCondition ref="AP1:AP4"/>
  </sortState>
  <tableColumns count="1">
    <tableColumn id="1" name="Miljøministeriet" dataDxfId="0"/>
  </tableColumns>
  <tableStyleInfo name="TableStyleLight2" showFirstColumn="0" showLastColumn="0" showRowStripes="1" showColumnStripes="0"/>
</table>
</file>

<file path=xl/tables/table4.xml><?xml version="1.0" encoding="utf-8"?>
<table xmlns="http://schemas.openxmlformats.org/spreadsheetml/2006/main" id="27" name="Table27" displayName="Table27" ref="M1:O16" totalsRowShown="0" headerRowDxfId="12" headerRowBorderDxfId="11" tableBorderDxfId="10" totalsRowBorderDxfId="9">
  <autoFilter ref="M1:O16"/>
  <tableColumns count="3">
    <tableColumn id="1" name="Unik liste" dataDxfId="8">
      <calculatedColumnFormula array="1">_xlfn.IFNA(INDEX(MasterTable[Spørgeområde],MATCH(0,COUNTIF($M$1:M1,MasterTable[Spørgeområde]),0)),"")</calculatedColumnFormula>
    </tableColumn>
    <tableColumn id="2" name="Aktuelt Niveau" dataDxfId="7">
      <calculatedColumnFormula>IFERROR(INDEX(MasterTable[Ønsket niveau],MATCH(Table27[[#This Row],[Unik liste]],MasterTable[Spørgeområde],0)),"")</calculatedColumnFormula>
    </tableColumn>
    <tableColumn id="3" name="Ønsket niveau" dataDxfId="6">
      <calculatedColumnFormula>S_InputArk!L5</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2" name="Table2" displayName="Table2" ref="B1:B23" totalsRowShown="0">
  <autoFilter ref="B1:B23"/>
  <tableColumns count="1">
    <tableColumn id="1" name="Ministerium"/>
  </tableColumns>
  <tableStyleInfo name="TableStyleMedium2" showFirstColumn="0" showLastColumn="0" showRowStripes="1" showColumnStripes="0"/>
</table>
</file>

<file path=xl/tables/table6.xml><?xml version="1.0" encoding="utf-8"?>
<table xmlns="http://schemas.openxmlformats.org/spreadsheetml/2006/main" id="3" name="Table3" displayName="Table3" ref="D1:D5" totalsRowShown="0">
  <autoFilter ref="D1:D5"/>
  <tableColumns count="1">
    <tableColumn id="1" name="Beskæftigelsesministeriet"/>
  </tableColumns>
  <tableStyleInfo name="TableStyleMedium2" showFirstColumn="0" showLastColumn="0" showRowStripes="1" showColumnStripes="0"/>
</table>
</file>

<file path=xl/tables/table7.xml><?xml version="1.0" encoding="utf-8"?>
<table xmlns="http://schemas.openxmlformats.org/spreadsheetml/2006/main" id="4" name="Table4" displayName="Table4" ref="F1:F6" totalsRowShown="0">
  <autoFilter ref="F1:F6"/>
  <sortState ref="F2:F6">
    <sortCondition ref="F1:F6"/>
  </sortState>
  <tableColumns count="1">
    <tableColumn id="1" name="Social-, Bolig- og Ældreministeriet"/>
  </tableColumns>
  <tableStyleInfo name="TableStyleMedium2" showFirstColumn="0" showLastColumn="0" showRowStripes="1" showColumnStripes="0"/>
</table>
</file>

<file path=xl/tables/table8.xml><?xml version="1.0" encoding="utf-8"?>
<table xmlns="http://schemas.openxmlformats.org/spreadsheetml/2006/main" id="5" name="Table5" displayName="Table5" ref="H1:H9" totalsRowShown="0">
  <autoFilter ref="H1:H9"/>
  <sortState ref="H2:H9">
    <sortCondition ref="H1:H9"/>
  </sortState>
  <tableColumns count="1">
    <tableColumn id="1" name="Klima-, Energi- og Forsyningsministeriet"/>
  </tableColumns>
  <tableStyleInfo name="TableStyleMedium2" showFirstColumn="0" showLastColumn="0" showRowStripes="1" showColumnStripes="0"/>
</table>
</file>

<file path=xl/tables/table9.xml><?xml version="1.0" encoding="utf-8"?>
<table xmlns="http://schemas.openxmlformats.org/spreadsheetml/2006/main" id="6" name="Table6" displayName="Table6" ref="J1:J9" totalsRowShown="0">
  <autoFilter ref="J1:J9"/>
  <sortState ref="J2:J9">
    <sortCondition ref="J1:J9"/>
  </sortState>
  <tableColumns count="1">
    <tableColumn id="1" name="Erhvervsministeriet"/>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0.xml"/><Relationship Id="rId13" Type="http://schemas.openxmlformats.org/officeDocument/2006/relationships/table" Target="../tables/table15.xml"/><Relationship Id="rId18" Type="http://schemas.openxmlformats.org/officeDocument/2006/relationships/table" Target="../tables/table20.xml"/><Relationship Id="rId26" Type="http://schemas.openxmlformats.org/officeDocument/2006/relationships/table" Target="../tables/table28.xml"/><Relationship Id="rId3" Type="http://schemas.openxmlformats.org/officeDocument/2006/relationships/table" Target="../tables/table5.xml"/><Relationship Id="rId21" Type="http://schemas.openxmlformats.org/officeDocument/2006/relationships/table" Target="../tables/table23.xml"/><Relationship Id="rId7" Type="http://schemas.openxmlformats.org/officeDocument/2006/relationships/table" Target="../tables/table9.xml"/><Relationship Id="rId12" Type="http://schemas.openxmlformats.org/officeDocument/2006/relationships/table" Target="../tables/table14.xml"/><Relationship Id="rId17" Type="http://schemas.openxmlformats.org/officeDocument/2006/relationships/table" Target="../tables/table19.xml"/><Relationship Id="rId25" Type="http://schemas.openxmlformats.org/officeDocument/2006/relationships/table" Target="../tables/table27.xml"/><Relationship Id="rId2" Type="http://schemas.openxmlformats.org/officeDocument/2006/relationships/drawing" Target="../drawings/drawing6.xml"/><Relationship Id="rId16" Type="http://schemas.openxmlformats.org/officeDocument/2006/relationships/table" Target="../tables/table18.xml"/><Relationship Id="rId20" Type="http://schemas.openxmlformats.org/officeDocument/2006/relationships/table" Target="../tables/table22.xml"/><Relationship Id="rId29" Type="http://schemas.openxmlformats.org/officeDocument/2006/relationships/table" Target="../tables/table31.xml"/><Relationship Id="rId1" Type="http://schemas.openxmlformats.org/officeDocument/2006/relationships/printerSettings" Target="../printerSettings/printerSettings7.bin"/><Relationship Id="rId6" Type="http://schemas.openxmlformats.org/officeDocument/2006/relationships/table" Target="../tables/table8.xml"/><Relationship Id="rId11" Type="http://schemas.openxmlformats.org/officeDocument/2006/relationships/table" Target="../tables/table13.xml"/><Relationship Id="rId24" Type="http://schemas.openxmlformats.org/officeDocument/2006/relationships/table" Target="../tables/table26.xml"/><Relationship Id="rId5" Type="http://schemas.openxmlformats.org/officeDocument/2006/relationships/table" Target="../tables/table7.xml"/><Relationship Id="rId15" Type="http://schemas.openxmlformats.org/officeDocument/2006/relationships/table" Target="../tables/table17.xml"/><Relationship Id="rId23" Type="http://schemas.openxmlformats.org/officeDocument/2006/relationships/table" Target="../tables/table25.xml"/><Relationship Id="rId28" Type="http://schemas.openxmlformats.org/officeDocument/2006/relationships/table" Target="../tables/table30.xml"/><Relationship Id="rId10" Type="http://schemas.openxmlformats.org/officeDocument/2006/relationships/table" Target="../tables/table12.xml"/><Relationship Id="rId19" Type="http://schemas.openxmlformats.org/officeDocument/2006/relationships/table" Target="../tables/table21.xml"/><Relationship Id="rId4" Type="http://schemas.openxmlformats.org/officeDocument/2006/relationships/table" Target="../tables/table6.xml"/><Relationship Id="rId9" Type="http://schemas.openxmlformats.org/officeDocument/2006/relationships/table" Target="../tables/table11.xml"/><Relationship Id="rId14" Type="http://schemas.openxmlformats.org/officeDocument/2006/relationships/table" Target="../tables/table16.xml"/><Relationship Id="rId22" Type="http://schemas.openxmlformats.org/officeDocument/2006/relationships/table" Target="../tables/table24.xml"/><Relationship Id="rId27" Type="http://schemas.openxmlformats.org/officeDocument/2006/relationships/table" Target="../tables/table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_Frontpage">
    <tabColor rgb="FF940027"/>
  </sheetPr>
  <dimension ref="A2:AI29"/>
  <sheetViews>
    <sheetView showGridLines="0" showRowColHeaders="0" zoomScale="91" zoomScaleNormal="91" workbookViewId="0">
      <selection activeCell="P8" sqref="P8"/>
    </sheetView>
  </sheetViews>
  <sheetFormatPr defaultRowHeight="15" x14ac:dyDescent="0.25"/>
  <cols>
    <col min="1" max="12" width="8.85546875" style="2"/>
    <col min="13" max="13" width="3.5703125" style="1" customWidth="1"/>
    <col min="14" max="18" width="8.85546875" style="1"/>
    <col min="19" max="19" width="13.7109375" style="1" customWidth="1"/>
    <col min="20" max="23" width="8.85546875" style="1"/>
    <col min="24" max="24" width="3.5703125" style="1" customWidth="1"/>
    <col min="25" max="35" width="8.85546875" style="1"/>
  </cols>
  <sheetData>
    <row r="2" spans="14:23" x14ac:dyDescent="0.25">
      <c r="N2"/>
      <c r="O2"/>
      <c r="P2"/>
      <c r="Q2"/>
      <c r="R2"/>
      <c r="S2"/>
      <c r="T2"/>
      <c r="U2"/>
      <c r="V2"/>
      <c r="W2"/>
    </row>
    <row r="3" spans="14:23" x14ac:dyDescent="0.25">
      <c r="N3"/>
      <c r="O3"/>
      <c r="P3"/>
      <c r="Q3"/>
      <c r="R3"/>
      <c r="S3"/>
      <c r="T3"/>
      <c r="U3"/>
      <c r="V3"/>
      <c r="W3"/>
    </row>
    <row r="4" spans="14:23" ht="23.25" x14ac:dyDescent="0.35">
      <c r="N4" s="12" t="s">
        <v>174</v>
      </c>
      <c r="O4"/>
      <c r="P4"/>
      <c r="Q4"/>
      <c r="R4"/>
      <c r="S4"/>
      <c r="T4"/>
      <c r="U4"/>
      <c r="V4"/>
      <c r="W4"/>
    </row>
    <row r="5" spans="14:23" ht="18.75" x14ac:dyDescent="0.3">
      <c r="N5" s="13" t="s">
        <v>376</v>
      </c>
      <c r="O5"/>
      <c r="P5"/>
      <c r="Q5"/>
      <c r="R5"/>
      <c r="S5"/>
      <c r="T5"/>
      <c r="U5"/>
      <c r="V5"/>
      <c r="W5"/>
    </row>
    <row r="6" spans="14:23" ht="18.75" x14ac:dyDescent="0.3">
      <c r="N6" s="13" t="s">
        <v>187</v>
      </c>
      <c r="O6"/>
      <c r="P6"/>
      <c r="Q6"/>
      <c r="R6"/>
      <c r="S6"/>
      <c r="T6"/>
      <c r="U6"/>
      <c r="V6"/>
      <c r="W6"/>
    </row>
    <row r="7" spans="14:23" ht="18.75" x14ac:dyDescent="0.3">
      <c r="N7" s="13" t="s">
        <v>8</v>
      </c>
      <c r="O7"/>
      <c r="P7"/>
      <c r="Q7"/>
      <c r="R7"/>
      <c r="S7"/>
      <c r="T7"/>
      <c r="U7"/>
      <c r="V7"/>
      <c r="W7"/>
    </row>
    <row r="8" spans="14:23" ht="18.75" x14ac:dyDescent="0.3">
      <c r="N8" s="13" t="s">
        <v>9</v>
      </c>
      <c r="O8"/>
      <c r="P8"/>
      <c r="Q8"/>
      <c r="R8"/>
      <c r="S8"/>
      <c r="T8"/>
      <c r="U8"/>
      <c r="V8"/>
      <c r="W8"/>
    </row>
    <row r="9" spans="14:23" ht="18.75" x14ac:dyDescent="0.25">
      <c r="N9" s="14" t="s">
        <v>10</v>
      </c>
      <c r="O9"/>
      <c r="P9"/>
      <c r="Q9"/>
      <c r="R9"/>
      <c r="S9"/>
      <c r="T9"/>
      <c r="U9"/>
      <c r="V9"/>
      <c r="W9"/>
    </row>
    <row r="10" spans="14:23" x14ac:dyDescent="0.25">
      <c r="N10"/>
      <c r="O10"/>
      <c r="P10"/>
      <c r="Q10"/>
      <c r="R10"/>
      <c r="S10"/>
      <c r="T10"/>
      <c r="U10"/>
      <c r="V10"/>
      <c r="W10"/>
    </row>
    <row r="11" spans="14:23" ht="18.75" x14ac:dyDescent="0.3">
      <c r="N11" s="13" t="s">
        <v>11</v>
      </c>
      <c r="O11"/>
      <c r="P11"/>
      <c r="Q11"/>
      <c r="R11"/>
      <c r="S11"/>
      <c r="T11"/>
      <c r="U11"/>
      <c r="V11"/>
      <c r="W11"/>
    </row>
    <row r="12" spans="14:23" ht="18.75" x14ac:dyDescent="0.3">
      <c r="N12" s="13" t="s">
        <v>189</v>
      </c>
      <c r="O12"/>
      <c r="P12"/>
      <c r="Q12"/>
      <c r="R12"/>
      <c r="S12"/>
      <c r="T12"/>
      <c r="U12"/>
      <c r="V12"/>
      <c r="W12"/>
    </row>
    <row r="13" spans="14:23" ht="18.75" x14ac:dyDescent="0.3">
      <c r="N13" s="13" t="s">
        <v>12</v>
      </c>
      <c r="O13"/>
      <c r="P13"/>
      <c r="Q13"/>
      <c r="R13"/>
      <c r="S13"/>
      <c r="T13"/>
      <c r="U13"/>
      <c r="V13"/>
      <c r="W13"/>
    </row>
    <row r="14" spans="14:23" ht="18.75" x14ac:dyDescent="0.3">
      <c r="N14" s="13" t="s">
        <v>188</v>
      </c>
      <c r="O14"/>
      <c r="P14"/>
      <c r="Q14"/>
      <c r="R14"/>
      <c r="S14"/>
      <c r="T14"/>
      <c r="U14"/>
      <c r="V14"/>
      <c r="W14"/>
    </row>
    <row r="15" spans="14:23" ht="18.75" x14ac:dyDescent="0.3">
      <c r="N15" s="13" t="s">
        <v>377</v>
      </c>
      <c r="O15"/>
      <c r="P15"/>
      <c r="Q15"/>
      <c r="R15"/>
      <c r="S15"/>
      <c r="T15"/>
      <c r="U15"/>
      <c r="V15"/>
      <c r="W15"/>
    </row>
    <row r="16" spans="14:23" ht="18.75" x14ac:dyDescent="0.3">
      <c r="N16" s="13" t="s">
        <v>13</v>
      </c>
      <c r="O16"/>
      <c r="P16"/>
      <c r="Q16"/>
      <c r="R16"/>
      <c r="S16"/>
      <c r="T16"/>
      <c r="U16"/>
      <c r="V16"/>
      <c r="W16"/>
    </row>
    <row r="17" spans="1:35" ht="18.75" x14ac:dyDescent="0.3">
      <c r="N17" s="13" t="s">
        <v>378</v>
      </c>
      <c r="O17"/>
      <c r="P17"/>
      <c r="Q17"/>
      <c r="R17"/>
      <c r="S17"/>
      <c r="T17"/>
      <c r="U17"/>
      <c r="V17"/>
      <c r="W17"/>
    </row>
    <row r="18" spans="1:35" s="3" customFormat="1" ht="18" customHeight="1" x14ac:dyDescent="0.3">
      <c r="A18" s="15"/>
      <c r="B18" s="16"/>
      <c r="C18" s="15"/>
      <c r="D18" s="15"/>
      <c r="E18" s="15"/>
      <c r="F18" s="15"/>
      <c r="G18" s="15"/>
      <c r="H18" s="15"/>
      <c r="I18" s="15"/>
      <c r="J18" s="15"/>
      <c r="K18" s="15"/>
      <c r="L18" s="15"/>
      <c r="M18" s="17"/>
      <c r="N18" s="232" t="s">
        <v>379</v>
      </c>
      <c r="O18" s="232"/>
      <c r="P18" s="232"/>
      <c r="Q18" s="232"/>
      <c r="R18" s="232"/>
      <c r="S18" s="232"/>
      <c r="T18" s="19"/>
      <c r="X18" s="17"/>
      <c r="Y18" s="17"/>
      <c r="Z18" s="17"/>
      <c r="AA18" s="17"/>
      <c r="AB18" s="17"/>
      <c r="AC18" s="17"/>
      <c r="AD18" s="17"/>
      <c r="AE18" s="17"/>
      <c r="AF18" s="17"/>
      <c r="AG18" s="17"/>
      <c r="AH18" s="17"/>
      <c r="AI18" s="17"/>
    </row>
    <row r="19" spans="1:35" ht="18" customHeight="1" x14ac:dyDescent="0.25">
      <c r="N19"/>
      <c r="O19"/>
      <c r="P19"/>
      <c r="Q19"/>
      <c r="R19"/>
      <c r="S19"/>
      <c r="T19"/>
      <c r="U19"/>
      <c r="V19"/>
      <c r="W19"/>
    </row>
    <row r="20" spans="1:35" ht="18.75" customHeight="1" x14ac:dyDescent="0.3">
      <c r="N20" s="13" t="s">
        <v>411</v>
      </c>
      <c r="O20"/>
      <c r="P20"/>
      <c r="Q20"/>
      <c r="R20"/>
      <c r="S20"/>
      <c r="T20"/>
      <c r="U20"/>
      <c r="V20"/>
      <c r="W20"/>
    </row>
    <row r="21" spans="1:35" ht="18.75" customHeight="1" x14ac:dyDescent="0.3">
      <c r="N21" s="13" t="s">
        <v>412</v>
      </c>
      <c r="O21"/>
      <c r="P21"/>
      <c r="Q21"/>
      <c r="R21"/>
      <c r="S21"/>
      <c r="T21"/>
      <c r="U21"/>
      <c r="V21"/>
      <c r="W21"/>
    </row>
    <row r="22" spans="1:35" ht="18.75" customHeight="1" x14ac:dyDescent="0.3">
      <c r="N22" s="13" t="s">
        <v>413</v>
      </c>
      <c r="O22"/>
      <c r="P22"/>
      <c r="Q22"/>
      <c r="R22"/>
      <c r="S22"/>
      <c r="T22"/>
      <c r="U22"/>
      <c r="V22"/>
      <c r="W22"/>
    </row>
    <row r="23" spans="1:35" ht="18.75" customHeight="1" x14ac:dyDescent="0.3">
      <c r="N23" s="13" t="s">
        <v>414</v>
      </c>
      <c r="O23"/>
      <c r="P23"/>
      <c r="Q23"/>
      <c r="R23"/>
      <c r="S23"/>
      <c r="T23"/>
      <c r="U23"/>
      <c r="V23"/>
      <c r="W23"/>
    </row>
    <row r="24" spans="1:35" ht="18.75" customHeight="1" x14ac:dyDescent="0.25">
      <c r="N24" s="14"/>
      <c r="O24"/>
      <c r="P24"/>
      <c r="Q24"/>
      <c r="R24"/>
      <c r="S24"/>
      <c r="T24"/>
      <c r="U24"/>
      <c r="V24"/>
      <c r="W24"/>
    </row>
    <row r="25" spans="1:35" x14ac:dyDescent="0.25">
      <c r="N25"/>
      <c r="O25"/>
      <c r="P25"/>
      <c r="Q25"/>
      <c r="R25"/>
      <c r="S25"/>
      <c r="T25"/>
      <c r="U25"/>
      <c r="V25"/>
      <c r="W25"/>
    </row>
    <row r="26" spans="1:35" x14ac:dyDescent="0.25">
      <c r="N26"/>
      <c r="O26"/>
      <c r="P26"/>
      <c r="Q26"/>
      <c r="R26"/>
      <c r="S26"/>
      <c r="T26"/>
      <c r="U26"/>
      <c r="V26"/>
      <c r="W26"/>
    </row>
    <row r="27" spans="1:35" ht="18.75" customHeight="1" x14ac:dyDescent="0.3">
      <c r="N27" s="18"/>
      <c r="O27"/>
      <c r="P27"/>
      <c r="Q27"/>
      <c r="R27"/>
      <c r="S27"/>
      <c r="T27"/>
      <c r="U27"/>
      <c r="V27"/>
      <c r="W27"/>
    </row>
    <row r="28" spans="1:35" x14ac:dyDescent="0.25">
      <c r="N28"/>
      <c r="O28"/>
      <c r="P28"/>
      <c r="Q28"/>
      <c r="R28"/>
      <c r="S28"/>
      <c r="T28"/>
      <c r="U28"/>
      <c r="V28"/>
      <c r="W28"/>
    </row>
    <row r="29" spans="1:35" x14ac:dyDescent="0.25">
      <c r="N29"/>
      <c r="O29"/>
      <c r="P29"/>
      <c r="Q29"/>
      <c r="R29"/>
      <c r="S29"/>
      <c r="T29"/>
      <c r="U29"/>
      <c r="V29"/>
      <c r="W29"/>
    </row>
  </sheetData>
  <sheetProtection algorithmName="SHA-512" hashValue="R7zKszIvEUJ5LKc9JsflyzSvRgLtqn+kjQ2GR5W4hTg+yy5Uabm1//gLlN4Zk/df57dahm0VhTnL5DyJ4FNESA==" saltValue="hu3Mi1oMfiatY/dGEH6eZw=="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_Instructions1">
    <tabColor rgb="FF940027"/>
    <pageSetUpPr autoPageBreaks="0" fitToPage="1"/>
  </sheetPr>
  <dimension ref="A1:L36"/>
  <sheetViews>
    <sheetView showGridLines="0" showRuler="0" topLeftCell="A23" zoomScaleNormal="100" workbookViewId="0">
      <selection activeCell="C29" sqref="C29:H29"/>
    </sheetView>
  </sheetViews>
  <sheetFormatPr defaultColWidth="8.85546875" defaultRowHeight="15" x14ac:dyDescent="0.25"/>
  <cols>
    <col min="1" max="1" width="3.28515625" style="11" customWidth="1"/>
    <col min="2" max="2" width="2.28515625" style="11" customWidth="1"/>
    <col min="3" max="3" width="16.7109375" style="11" customWidth="1"/>
    <col min="4" max="4" width="20.42578125" style="11" customWidth="1"/>
    <col min="5" max="5" width="21.140625" style="11" customWidth="1"/>
    <col min="6" max="6" width="9" style="11" customWidth="1"/>
    <col min="7" max="7" width="8.28515625" style="11" customWidth="1"/>
    <col min="8" max="8" width="14.5703125" style="11" customWidth="1"/>
    <col min="9" max="9" width="21.28515625" style="11" customWidth="1"/>
    <col min="10" max="10" width="17.28515625" style="11" customWidth="1"/>
    <col min="11" max="11" width="19.28515625" style="11" customWidth="1"/>
    <col min="12" max="12" width="4.140625" style="11" customWidth="1"/>
    <col min="13" max="16384" width="8.85546875" style="5"/>
  </cols>
  <sheetData>
    <row r="1" spans="1:12" x14ac:dyDescent="0.25">
      <c r="A1" s="4"/>
      <c r="B1" s="4"/>
      <c r="C1" s="4"/>
      <c r="D1" s="4"/>
      <c r="E1" s="4"/>
      <c r="F1" s="4"/>
      <c r="G1" s="136"/>
      <c r="H1" s="4"/>
      <c r="I1" s="4"/>
      <c r="J1" s="4"/>
      <c r="K1" s="4"/>
      <c r="L1" s="4"/>
    </row>
    <row r="2" spans="1:12" ht="71.45" customHeight="1" x14ac:dyDescent="0.25">
      <c r="A2" s="4"/>
      <c r="B2" s="71" t="s">
        <v>115</v>
      </c>
      <c r="C2" s="71"/>
      <c r="D2" s="4"/>
      <c r="E2" s="4"/>
      <c r="F2" s="4"/>
      <c r="G2" s="4"/>
      <c r="H2" s="4"/>
      <c r="I2" s="4"/>
      <c r="J2" s="4"/>
      <c r="K2" s="4"/>
      <c r="L2" s="4"/>
    </row>
    <row r="3" spans="1:12" ht="19.899999999999999" customHeight="1" x14ac:dyDescent="0.25">
      <c r="A3" s="4"/>
      <c r="B3" s="6"/>
      <c r="C3" s="6"/>
      <c r="D3" s="6"/>
      <c r="E3" s="6"/>
      <c r="F3" s="6"/>
      <c r="G3" s="6"/>
      <c r="H3" s="6"/>
      <c r="I3" s="6"/>
      <c r="J3" s="6"/>
      <c r="K3" s="6"/>
      <c r="L3" s="4"/>
    </row>
    <row r="4" spans="1:12" ht="31.15" customHeight="1" x14ac:dyDescent="0.25">
      <c r="A4" s="4"/>
      <c r="B4" s="7"/>
      <c r="C4" s="8" t="s">
        <v>15</v>
      </c>
      <c r="D4" s="7"/>
      <c r="E4" s="7"/>
      <c r="F4" s="7"/>
      <c r="G4" s="7"/>
      <c r="H4" s="7"/>
      <c r="I4" s="7"/>
      <c r="J4" s="7"/>
      <c r="K4" s="7"/>
      <c r="L4" s="4"/>
    </row>
    <row r="5" spans="1:12" x14ac:dyDescent="0.25">
      <c r="A5" s="4"/>
      <c r="B5" s="9"/>
      <c r="C5" s="9"/>
      <c r="D5" s="9"/>
      <c r="E5" s="9"/>
      <c r="F5" s="9"/>
      <c r="G5" s="9"/>
      <c r="H5" s="9"/>
      <c r="I5" s="9"/>
      <c r="J5" s="9"/>
      <c r="K5" s="9"/>
      <c r="L5" s="4"/>
    </row>
    <row r="6" spans="1:12" ht="18.75" x14ac:dyDescent="0.3">
      <c r="A6" s="4"/>
      <c r="B6" s="9"/>
      <c r="C6" s="234" t="s">
        <v>112</v>
      </c>
      <c r="D6" s="23"/>
      <c r="E6" s="23"/>
      <c r="F6" s="23"/>
      <c r="G6" s="23"/>
      <c r="H6" s="23"/>
      <c r="I6" s="23"/>
      <c r="J6" s="23"/>
      <c r="K6" s="23"/>
      <c r="L6" s="4"/>
    </row>
    <row r="7" spans="1:12" ht="36" customHeight="1" x14ac:dyDescent="0.25">
      <c r="A7" s="4"/>
      <c r="B7" s="9"/>
      <c r="C7" s="290" t="s">
        <v>385</v>
      </c>
      <c r="D7" s="290"/>
      <c r="E7" s="290"/>
      <c r="F7" s="290"/>
      <c r="G7" s="290"/>
      <c r="H7" s="290"/>
      <c r="I7" s="290"/>
      <c r="J7" s="290"/>
      <c r="K7" s="290"/>
      <c r="L7" s="4"/>
    </row>
    <row r="8" spans="1:12" ht="15.75" x14ac:dyDescent="0.25">
      <c r="A8" s="4"/>
      <c r="B8" s="9"/>
      <c r="C8" s="23"/>
      <c r="D8" s="23"/>
      <c r="E8" s="23"/>
      <c r="F8" s="23"/>
      <c r="G8" s="23"/>
      <c r="H8" s="23"/>
      <c r="I8" s="23"/>
      <c r="J8" s="23"/>
      <c r="K8" s="23"/>
      <c r="L8" s="4"/>
    </row>
    <row r="9" spans="1:12" ht="15.75" x14ac:dyDescent="0.25">
      <c r="A9" s="4"/>
      <c r="B9" s="9"/>
      <c r="C9" s="23"/>
      <c r="D9" s="23" t="s">
        <v>380</v>
      </c>
      <c r="E9" s="23" t="s">
        <v>415</v>
      </c>
      <c r="F9" s="23"/>
      <c r="G9" s="23"/>
      <c r="H9" s="23"/>
      <c r="I9" s="23"/>
      <c r="J9" s="23"/>
      <c r="K9" s="23"/>
      <c r="L9" s="4"/>
    </row>
    <row r="10" spans="1:12" ht="15.75" x14ac:dyDescent="0.25">
      <c r="A10" s="4"/>
      <c r="B10" s="9"/>
      <c r="C10" s="23"/>
      <c r="D10" s="21" t="s">
        <v>381</v>
      </c>
      <c r="E10" s="23" t="s">
        <v>113</v>
      </c>
      <c r="F10" s="23"/>
      <c r="G10" s="23"/>
      <c r="H10" s="23"/>
      <c r="I10" s="23"/>
      <c r="J10" s="23"/>
      <c r="K10" s="23"/>
      <c r="L10" s="4"/>
    </row>
    <row r="11" spans="1:12" ht="15.75" x14ac:dyDescent="0.25">
      <c r="A11" s="4"/>
      <c r="B11" s="9"/>
      <c r="C11" s="23"/>
      <c r="D11" s="21" t="s">
        <v>382</v>
      </c>
      <c r="E11" s="23" t="s">
        <v>114</v>
      </c>
      <c r="F11" s="23"/>
      <c r="G11" s="23"/>
      <c r="H11" s="23"/>
      <c r="I11" s="23"/>
      <c r="J11" s="23"/>
      <c r="K11" s="23"/>
      <c r="L11" s="4"/>
    </row>
    <row r="12" spans="1:12" ht="15.75" x14ac:dyDescent="0.25">
      <c r="A12" s="4"/>
      <c r="B12" s="9"/>
      <c r="C12" s="23"/>
      <c r="D12" s="21" t="s">
        <v>383</v>
      </c>
      <c r="E12" s="23" t="s">
        <v>164</v>
      </c>
      <c r="F12" s="23"/>
      <c r="G12" s="23"/>
      <c r="H12" s="23"/>
      <c r="I12" s="23"/>
      <c r="J12" s="23"/>
      <c r="K12" s="23"/>
      <c r="L12" s="4"/>
    </row>
    <row r="13" spans="1:12" ht="9.6" customHeight="1" x14ac:dyDescent="0.25">
      <c r="A13" s="4"/>
      <c r="B13" s="9"/>
      <c r="C13" s="23"/>
      <c r="D13" s="23"/>
      <c r="E13" s="23"/>
      <c r="F13" s="23"/>
      <c r="G13" s="23"/>
      <c r="H13" s="23"/>
      <c r="I13" s="23"/>
      <c r="J13" s="23"/>
      <c r="K13" s="23"/>
      <c r="L13" s="4"/>
    </row>
    <row r="14" spans="1:12" s="135" customFormat="1" ht="34.15" customHeight="1" x14ac:dyDescent="0.25">
      <c r="A14" s="133"/>
      <c r="B14" s="134"/>
      <c r="C14" s="289" t="s">
        <v>386</v>
      </c>
      <c r="D14" s="289"/>
      <c r="E14" s="289"/>
      <c r="F14" s="289"/>
      <c r="G14" s="289"/>
      <c r="H14" s="289"/>
      <c r="I14" s="289"/>
      <c r="J14" s="289"/>
      <c r="K14" s="289"/>
      <c r="L14" s="133"/>
    </row>
    <row r="15" spans="1:12" ht="10.5" customHeight="1" x14ac:dyDescent="0.25">
      <c r="A15" s="4"/>
      <c r="B15" s="9"/>
      <c r="C15" s="23"/>
      <c r="D15" s="23"/>
      <c r="E15" s="23"/>
      <c r="F15" s="23"/>
      <c r="G15" s="23"/>
      <c r="H15" s="23"/>
      <c r="I15" s="23"/>
      <c r="J15" s="23"/>
      <c r="K15" s="23"/>
      <c r="L15" s="4"/>
    </row>
    <row r="16" spans="1:12" ht="21" customHeight="1" x14ac:dyDescent="0.25">
      <c r="A16" s="4"/>
      <c r="B16" s="9"/>
      <c r="C16" s="23"/>
      <c r="D16" s="263" t="s">
        <v>195</v>
      </c>
      <c r="E16" s="263"/>
      <c r="F16" s="263"/>
      <c r="G16" s="263" t="s">
        <v>197</v>
      </c>
      <c r="H16" s="263"/>
      <c r="I16" s="263"/>
      <c r="J16" s="263" t="s">
        <v>200</v>
      </c>
      <c r="K16" s="264"/>
      <c r="L16" s="4"/>
    </row>
    <row r="17" spans="1:12" ht="21" customHeight="1" x14ac:dyDescent="0.25">
      <c r="A17" s="4"/>
      <c r="B17" s="9"/>
      <c r="C17" s="23"/>
      <c r="D17" s="263" t="s">
        <v>479</v>
      </c>
      <c r="E17" s="263"/>
      <c r="F17" s="263"/>
      <c r="G17" s="263" t="s">
        <v>198</v>
      </c>
      <c r="H17" s="263"/>
      <c r="I17" s="263"/>
      <c r="J17" s="263" t="s">
        <v>201</v>
      </c>
      <c r="K17" s="264"/>
      <c r="L17" s="4"/>
    </row>
    <row r="18" spans="1:12" ht="21" customHeight="1" x14ac:dyDescent="0.25">
      <c r="A18" s="4"/>
      <c r="B18" s="9"/>
      <c r="C18" s="23"/>
      <c r="D18" s="263" t="s">
        <v>196</v>
      </c>
      <c r="E18" s="263"/>
      <c r="F18" s="263"/>
      <c r="G18" s="263" t="s">
        <v>199</v>
      </c>
      <c r="H18" s="263"/>
      <c r="I18" s="263"/>
      <c r="J18" s="263" t="s">
        <v>202</v>
      </c>
      <c r="K18" s="264"/>
      <c r="L18" s="4"/>
    </row>
    <row r="19" spans="1:12" ht="12.75" customHeight="1" x14ac:dyDescent="0.25">
      <c r="A19" s="4"/>
      <c r="B19" s="4"/>
      <c r="C19" s="79"/>
      <c r="D19" s="79"/>
      <c r="E19" s="79"/>
      <c r="F19" s="79"/>
      <c r="G19" s="79"/>
      <c r="H19" s="79"/>
      <c r="I19" s="79"/>
      <c r="J19" s="79"/>
      <c r="K19" s="79"/>
      <c r="L19" s="4"/>
    </row>
    <row r="20" spans="1:12" ht="19.5" customHeight="1" x14ac:dyDescent="0.3">
      <c r="A20" s="4"/>
      <c r="B20" s="9"/>
      <c r="C20" s="234" t="s">
        <v>176</v>
      </c>
      <c r="D20" s="235"/>
      <c r="E20" s="23"/>
      <c r="F20" s="23"/>
      <c r="G20" s="23"/>
      <c r="H20" s="23"/>
      <c r="I20" s="23"/>
      <c r="J20" s="23"/>
      <c r="K20" s="23"/>
      <c r="L20" s="4"/>
    </row>
    <row r="21" spans="1:12" ht="398.25" customHeight="1" x14ac:dyDescent="0.25">
      <c r="A21" s="4"/>
      <c r="B21" s="9"/>
      <c r="C21" s="289" t="s">
        <v>462</v>
      </c>
      <c r="D21" s="289"/>
      <c r="E21" s="289"/>
      <c r="F21" s="289"/>
      <c r="G21" s="289"/>
      <c r="H21" s="289"/>
      <c r="I21" s="132"/>
      <c r="J21" s="132"/>
      <c r="K21" s="132"/>
      <c r="L21" s="4"/>
    </row>
    <row r="22" spans="1:12" ht="24" customHeight="1" x14ac:dyDescent="0.3">
      <c r="A22" s="4"/>
      <c r="B22" s="9"/>
      <c r="C22" s="233" t="s">
        <v>384</v>
      </c>
      <c r="D22" s="24"/>
      <c r="E22" s="72"/>
      <c r="F22" s="23"/>
      <c r="G22" s="23"/>
      <c r="H22" s="23"/>
      <c r="I22" s="23"/>
      <c r="J22" s="23"/>
      <c r="K22" s="23"/>
      <c r="L22" s="4"/>
    </row>
    <row r="23" spans="1:12" ht="87.75" customHeight="1" x14ac:dyDescent="0.25">
      <c r="A23" s="4"/>
      <c r="B23" s="9"/>
      <c r="C23" s="291" t="s">
        <v>416</v>
      </c>
      <c r="D23" s="291"/>
      <c r="E23" s="291"/>
      <c r="F23" s="291"/>
      <c r="G23" s="291"/>
      <c r="H23" s="291"/>
      <c r="I23" s="291"/>
      <c r="J23" s="291"/>
      <c r="K23" s="291"/>
      <c r="L23" s="4"/>
    </row>
    <row r="24" spans="1:12" ht="89.25" customHeight="1" x14ac:dyDescent="0.25">
      <c r="A24" s="4"/>
      <c r="B24" s="9"/>
      <c r="C24" s="292" t="s">
        <v>417</v>
      </c>
      <c r="D24" s="292"/>
      <c r="E24" s="292"/>
      <c r="F24" s="292"/>
      <c r="G24" s="292"/>
      <c r="H24" s="292"/>
      <c r="I24" s="292"/>
      <c r="J24" s="292"/>
      <c r="K24" s="292"/>
      <c r="L24" s="4"/>
    </row>
    <row r="25" spans="1:12" ht="94.5" customHeight="1" x14ac:dyDescent="0.25">
      <c r="A25" s="4"/>
      <c r="B25" s="9"/>
      <c r="C25" s="292" t="s">
        <v>387</v>
      </c>
      <c r="D25" s="292"/>
      <c r="E25" s="292"/>
      <c r="F25" s="292"/>
      <c r="G25" s="292"/>
      <c r="H25" s="292"/>
      <c r="I25" s="292"/>
      <c r="J25" s="292"/>
      <c r="K25" s="292"/>
      <c r="L25" s="4"/>
    </row>
    <row r="26" spans="1:12" ht="75.75" customHeight="1" x14ac:dyDescent="0.25">
      <c r="A26" s="4"/>
      <c r="B26" s="9"/>
      <c r="C26" s="292" t="s">
        <v>418</v>
      </c>
      <c r="D26" s="292"/>
      <c r="E26" s="292"/>
      <c r="F26" s="292"/>
      <c r="G26" s="292"/>
      <c r="H26" s="292"/>
      <c r="I26" s="292"/>
      <c r="J26" s="292"/>
      <c r="K26" s="292"/>
      <c r="L26" s="4"/>
    </row>
    <row r="27" spans="1:12" ht="153" customHeight="1" x14ac:dyDescent="0.25">
      <c r="A27" s="4"/>
      <c r="B27" s="9"/>
      <c r="C27" s="292" t="s">
        <v>419</v>
      </c>
      <c r="D27" s="292"/>
      <c r="E27" s="292"/>
      <c r="F27" s="292"/>
      <c r="G27" s="292"/>
      <c r="H27" s="292"/>
      <c r="I27" s="292"/>
      <c r="J27" s="292"/>
      <c r="K27" s="292"/>
      <c r="L27" s="4"/>
    </row>
    <row r="28" spans="1:12" ht="8.25" customHeight="1" x14ac:dyDescent="0.25">
      <c r="A28" s="4"/>
      <c r="B28" s="9"/>
      <c r="C28" s="288"/>
      <c r="D28" s="288"/>
      <c r="E28" s="288"/>
      <c r="F28" s="288"/>
      <c r="G28" s="288"/>
      <c r="H28" s="288"/>
      <c r="I28" s="288"/>
      <c r="J28" s="288"/>
      <c r="K28" s="288"/>
      <c r="L28" s="4"/>
    </row>
    <row r="29" spans="1:12" ht="210.75" customHeight="1" x14ac:dyDescent="0.25">
      <c r="A29" s="4"/>
      <c r="B29" s="9"/>
      <c r="C29" s="289" t="s">
        <v>480</v>
      </c>
      <c r="D29" s="289"/>
      <c r="E29" s="289"/>
      <c r="F29" s="289"/>
      <c r="G29" s="289"/>
      <c r="H29" s="289"/>
      <c r="I29" s="270"/>
      <c r="J29" s="132"/>
      <c r="K29" s="132"/>
      <c r="L29" s="4"/>
    </row>
    <row r="30" spans="1:12" ht="88.5" customHeight="1" x14ac:dyDescent="0.25">
      <c r="A30" s="4"/>
      <c r="B30" s="9"/>
      <c r="C30" s="95"/>
      <c r="D30" s="25"/>
      <c r="E30" s="72"/>
      <c r="F30" s="23"/>
      <c r="G30" s="23"/>
      <c r="H30" s="23"/>
      <c r="I30" s="23"/>
      <c r="J30" s="23"/>
      <c r="K30" s="23"/>
      <c r="L30" s="4"/>
    </row>
    <row r="31" spans="1:12" ht="76.900000000000006" customHeight="1" x14ac:dyDescent="0.25">
      <c r="A31" s="4"/>
      <c r="B31" s="70"/>
      <c r="C31" s="289"/>
      <c r="D31" s="289"/>
      <c r="E31" s="289"/>
      <c r="F31" s="289"/>
      <c r="G31" s="289"/>
      <c r="H31" s="289"/>
      <c r="I31" s="289"/>
      <c r="J31" s="132"/>
      <c r="K31" s="132"/>
      <c r="L31" s="4"/>
    </row>
    <row r="32" spans="1:12" ht="15.75" x14ac:dyDescent="0.25">
      <c r="A32" s="4"/>
      <c r="B32" s="65"/>
      <c r="C32" s="25"/>
      <c r="D32" s="25"/>
      <c r="E32" s="25"/>
      <c r="F32" s="25"/>
      <c r="G32" s="25"/>
      <c r="H32" s="25"/>
      <c r="I32" s="25"/>
      <c r="J32" s="25"/>
      <c r="K32" s="25"/>
      <c r="L32" s="4"/>
    </row>
    <row r="33" spans="1:12" x14ac:dyDescent="0.25">
      <c r="A33" s="4"/>
      <c r="B33" s="269"/>
      <c r="C33" s="269"/>
      <c r="D33" s="269"/>
      <c r="E33" s="269"/>
      <c r="F33" s="269"/>
      <c r="G33" s="269"/>
      <c r="H33" s="269"/>
      <c r="I33" s="269"/>
      <c r="J33" s="269"/>
      <c r="K33" s="269"/>
      <c r="L33" s="4"/>
    </row>
    <row r="34" spans="1:12" x14ac:dyDescent="0.25">
      <c r="A34" s="4"/>
      <c r="B34" s="4"/>
      <c r="C34" s="4"/>
      <c r="D34" s="4"/>
      <c r="E34" s="4"/>
      <c r="F34" s="4"/>
      <c r="G34" s="4"/>
      <c r="H34" s="4"/>
      <c r="I34" s="4"/>
      <c r="J34" s="4"/>
      <c r="K34" s="4"/>
      <c r="L34" s="4"/>
    </row>
    <row r="35" spans="1:12" x14ac:dyDescent="0.25">
      <c r="A35" s="4"/>
      <c r="B35" s="65"/>
      <c r="C35" s="65"/>
      <c r="D35" s="65"/>
      <c r="E35" s="65"/>
      <c r="F35" s="65"/>
      <c r="G35" s="65"/>
      <c r="H35" s="65"/>
      <c r="I35" s="10"/>
      <c r="J35" s="65"/>
      <c r="K35" s="65"/>
      <c r="L35" s="4"/>
    </row>
    <row r="36" spans="1:12" ht="23.25" x14ac:dyDescent="0.25">
      <c r="A36" s="20"/>
      <c r="B36" s="7"/>
      <c r="C36" s="8"/>
      <c r="D36" s="7"/>
      <c r="E36" s="7"/>
      <c r="F36" s="7"/>
      <c r="G36" s="7"/>
      <c r="H36" s="7"/>
      <c r="I36" s="7"/>
      <c r="J36" s="7"/>
      <c r="K36" s="7"/>
      <c r="L36" s="20"/>
    </row>
  </sheetData>
  <mergeCells count="11">
    <mergeCell ref="C28:K28"/>
    <mergeCell ref="C31:I31"/>
    <mergeCell ref="C7:K7"/>
    <mergeCell ref="C21:H21"/>
    <mergeCell ref="C14:K14"/>
    <mergeCell ref="C23:K23"/>
    <mergeCell ref="C24:K24"/>
    <mergeCell ref="C25:K25"/>
    <mergeCell ref="C26:K26"/>
    <mergeCell ref="C27:K27"/>
    <mergeCell ref="C29:H29"/>
  </mergeCells>
  <pageMargins left="0.7" right="0.7" top="0.75" bottom="0.75" header="0.3" footer="0.3"/>
  <pageSetup paperSize="9" scale="5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_Questionnaire">
    <tabColor rgb="FF940027"/>
    <pageSetUpPr autoPageBreaks="0" fitToPage="1"/>
  </sheetPr>
  <dimension ref="A1:AE226"/>
  <sheetViews>
    <sheetView showGridLines="0" tabSelected="1" showRuler="0" topLeftCell="A2" zoomScaleNormal="100" workbookViewId="0">
      <pane ySplit="4" topLeftCell="A6" activePane="bottomLeft" state="frozen"/>
      <selection activeCell="B2" sqref="B2"/>
      <selection pane="bottomLeft" activeCell="G9" sqref="G9:H9"/>
    </sheetView>
  </sheetViews>
  <sheetFormatPr defaultColWidth="0" defaultRowHeight="15.75" zeroHeight="1" x14ac:dyDescent="0.25"/>
  <cols>
    <col min="1" max="1" width="17.7109375" style="76" hidden="1" customWidth="1"/>
    <col min="2" max="2" width="7.42578125" style="283" customWidth="1"/>
    <col min="3" max="3" width="3.28515625" style="25" customWidth="1"/>
    <col min="4" max="4" width="14.5703125" style="25" customWidth="1"/>
    <col min="5" max="5" width="3.85546875" style="25" customWidth="1"/>
    <col min="6" max="6" width="63.5703125" style="25" customWidth="1"/>
    <col min="7" max="7" width="21.140625" style="25" customWidth="1"/>
    <col min="8" max="8" width="25.28515625" style="25" customWidth="1"/>
    <col min="9" max="9" width="26" style="25" customWidth="1"/>
    <col min="10" max="10" width="25.85546875" style="25" customWidth="1"/>
    <col min="11" max="11" width="23.42578125" style="25" customWidth="1"/>
    <col min="12" max="12" width="3.42578125" style="25" customWidth="1"/>
    <col min="13" max="13" width="27.7109375" style="25" customWidth="1"/>
    <col min="14" max="14" width="31.28515625" style="25" customWidth="1"/>
    <col min="15" max="15" width="5.85546875" style="88" customWidth="1"/>
    <col min="16" max="16" width="3.7109375" style="25" customWidth="1"/>
    <col min="17" max="17" width="2.5703125" style="24" customWidth="1"/>
    <col min="18" max="18" width="2.42578125" style="24" customWidth="1"/>
    <col min="19" max="19" width="8.28515625" style="24" customWidth="1"/>
    <col min="20" max="23" width="15.85546875" style="24" customWidth="1"/>
    <col min="24" max="24" width="10" style="24" customWidth="1"/>
    <col min="25" max="25" width="6.7109375" style="24" customWidth="1"/>
    <col min="26" max="26" width="4.28515625" style="24" customWidth="1"/>
    <col min="27" max="27" width="13.7109375" style="24" hidden="1" customWidth="1"/>
    <col min="28" max="28" width="8.85546875" style="24" hidden="1" customWidth="1"/>
    <col min="29" max="31" width="0" style="24" hidden="1" customWidth="1"/>
    <col min="32" max="16384" width="8.85546875" style="24" hidden="1"/>
  </cols>
  <sheetData>
    <row r="1" spans="1:19" hidden="1" x14ac:dyDescent="0.25">
      <c r="G1" s="25">
        <v>1</v>
      </c>
      <c r="H1" s="25">
        <v>2</v>
      </c>
      <c r="I1" s="25">
        <v>3</v>
      </c>
      <c r="J1" s="25">
        <v>4</v>
      </c>
      <c r="K1" s="25">
        <v>5</v>
      </c>
    </row>
    <row r="2" spans="1:19" s="77" customFormat="1" x14ac:dyDescent="0.25">
      <c r="A2" s="76"/>
      <c r="B2" s="282"/>
      <c r="C2" s="78"/>
      <c r="D2" s="78"/>
      <c r="E2" s="78"/>
      <c r="F2" s="78"/>
      <c r="G2" s="78"/>
      <c r="H2" s="78"/>
      <c r="I2" s="78"/>
      <c r="J2" s="78"/>
      <c r="K2" s="78"/>
      <c r="L2" s="78"/>
      <c r="M2" s="78"/>
      <c r="N2" s="78"/>
      <c r="O2" s="277"/>
      <c r="P2" s="78"/>
    </row>
    <row r="3" spans="1:19" s="77" customFormat="1" x14ac:dyDescent="0.25">
      <c r="A3" s="76"/>
      <c r="B3" s="282"/>
      <c r="C3" s="79"/>
      <c r="D3" s="79"/>
      <c r="E3" s="79"/>
      <c r="F3" s="79"/>
      <c r="G3" s="79"/>
      <c r="H3" s="79"/>
      <c r="I3" s="79"/>
      <c r="J3" s="79"/>
      <c r="K3" s="79"/>
      <c r="L3" s="79"/>
      <c r="M3" s="79"/>
      <c r="N3" s="79"/>
      <c r="O3" s="278"/>
      <c r="P3" s="79"/>
    </row>
    <row r="4" spans="1:19" s="77" customFormat="1" ht="52.15" customHeight="1" x14ac:dyDescent="0.25">
      <c r="A4" s="76"/>
      <c r="B4" s="282"/>
      <c r="C4" s="79"/>
      <c r="D4" s="79"/>
      <c r="E4" s="94" t="s">
        <v>3</v>
      </c>
      <c r="F4" s="79"/>
      <c r="G4" s="79"/>
      <c r="H4" s="79"/>
      <c r="I4" s="80"/>
      <c r="J4" s="79"/>
      <c r="K4" s="79"/>
      <c r="L4" s="79"/>
      <c r="M4" s="79"/>
      <c r="N4" s="79"/>
      <c r="O4" s="278"/>
      <c r="P4" s="79"/>
    </row>
    <row r="5" spans="1:19" s="77" customFormat="1" ht="15.6" customHeight="1" x14ac:dyDescent="0.25">
      <c r="A5" s="76"/>
      <c r="B5" s="282"/>
      <c r="C5" s="79"/>
      <c r="D5" s="81"/>
      <c r="E5" s="81"/>
      <c r="F5" s="81"/>
      <c r="G5" s="81"/>
      <c r="H5" s="81"/>
      <c r="I5" s="81"/>
      <c r="J5" s="82" t="s">
        <v>93</v>
      </c>
      <c r="K5" s="281">
        <f>COUNTIF(O:O,1)/(COUNTIF(O:O,1)+COUNTIF(O:O,0))</f>
        <v>0</v>
      </c>
      <c r="L5" s="30"/>
      <c r="M5" s="30"/>
      <c r="N5" s="30"/>
      <c r="O5" s="279"/>
      <c r="P5" s="79"/>
    </row>
    <row r="6" spans="1:19" s="77" customFormat="1" ht="21" customHeight="1" x14ac:dyDescent="0.25">
      <c r="A6" s="76"/>
      <c r="B6" s="282"/>
      <c r="C6" s="79"/>
      <c r="D6" s="73" t="s">
        <v>80</v>
      </c>
      <c r="E6" s="74" t="s">
        <v>79</v>
      </c>
      <c r="F6" s="83"/>
      <c r="G6" s="83"/>
      <c r="H6" s="83"/>
      <c r="I6" s="83"/>
      <c r="J6" s="83"/>
      <c r="K6" s="83"/>
      <c r="L6" s="83"/>
      <c r="M6" s="83"/>
      <c r="N6" s="83"/>
      <c r="O6" s="280"/>
      <c r="P6" s="79"/>
    </row>
    <row r="7" spans="1:19" s="77" customFormat="1" x14ac:dyDescent="0.25">
      <c r="A7" s="76"/>
      <c r="B7" s="282"/>
      <c r="C7" s="79"/>
      <c r="D7" s="23"/>
      <c r="E7" s="23"/>
      <c r="F7" s="23"/>
      <c r="G7" s="23"/>
      <c r="H7" s="23"/>
      <c r="I7" s="23"/>
      <c r="J7" s="23"/>
      <c r="K7" s="23"/>
      <c r="L7" s="23"/>
      <c r="M7" s="23"/>
      <c r="N7" s="23"/>
      <c r="O7" s="84"/>
      <c r="P7" s="79"/>
    </row>
    <row r="8" spans="1:19" s="77" customFormat="1" x14ac:dyDescent="0.25">
      <c r="A8" s="76"/>
      <c r="B8" s="282"/>
      <c r="C8" s="79"/>
      <c r="D8" s="23"/>
      <c r="E8" s="23"/>
      <c r="F8" s="23"/>
      <c r="G8" s="23"/>
      <c r="H8" s="23"/>
      <c r="I8" s="23"/>
      <c r="J8" s="23"/>
      <c r="K8" s="23"/>
      <c r="L8" s="23"/>
      <c r="M8" s="23"/>
      <c r="N8" s="23"/>
      <c r="O8" s="84"/>
      <c r="P8" s="79"/>
    </row>
    <row r="9" spans="1:19" s="77" customFormat="1" x14ac:dyDescent="0.25">
      <c r="A9" s="76"/>
      <c r="B9" s="282"/>
      <c r="C9" s="79"/>
      <c r="D9" s="23"/>
      <c r="E9" s="23"/>
      <c r="F9" s="211" t="s">
        <v>363</v>
      </c>
      <c r="G9" s="309"/>
      <c r="H9" s="310"/>
      <c r="I9" s="23"/>
      <c r="J9" s="23"/>
      <c r="K9" s="23"/>
      <c r="L9" s="23"/>
      <c r="M9" s="23"/>
      <c r="N9" s="23"/>
      <c r="O9" s="84">
        <f>IF(Ministeriuminput="",0,1)</f>
        <v>0</v>
      </c>
      <c r="P9" s="79"/>
    </row>
    <row r="10" spans="1:19" s="77" customFormat="1" ht="7.9" customHeight="1" x14ac:dyDescent="0.25">
      <c r="A10" s="76"/>
      <c r="B10" s="282"/>
      <c r="C10" s="79"/>
      <c r="D10" s="23"/>
      <c r="E10" s="23"/>
      <c r="F10" s="211"/>
      <c r="G10" s="85"/>
      <c r="H10" s="85"/>
      <c r="I10" s="23"/>
      <c r="J10" s="23"/>
      <c r="K10" s="23"/>
      <c r="L10" s="23"/>
      <c r="M10" s="23"/>
      <c r="N10" s="23"/>
      <c r="O10" s="84"/>
      <c r="P10" s="79"/>
    </row>
    <row r="11" spans="1:19" s="77" customFormat="1" x14ac:dyDescent="0.25">
      <c r="A11" s="76"/>
      <c r="B11" s="282"/>
      <c r="C11" s="79"/>
      <c r="D11" s="23"/>
      <c r="E11" s="23"/>
      <c r="F11" s="211" t="s">
        <v>362</v>
      </c>
      <c r="G11" s="309"/>
      <c r="H11" s="310"/>
      <c r="I11" s="72"/>
      <c r="J11" s="72"/>
      <c r="K11" s="72"/>
      <c r="L11" s="72"/>
      <c r="M11" s="72"/>
      <c r="N11" s="72"/>
      <c r="O11" s="84">
        <f>IF(Styrelse="",0,1)</f>
        <v>0</v>
      </c>
      <c r="P11" s="79"/>
    </row>
    <row r="12" spans="1:19" s="77" customFormat="1" ht="9" customHeight="1" x14ac:dyDescent="0.25">
      <c r="A12" s="76"/>
      <c r="B12" s="282"/>
      <c r="C12" s="79"/>
      <c r="D12" s="23"/>
      <c r="E12" s="23"/>
      <c r="F12" s="211"/>
      <c r="G12" s="23"/>
      <c r="H12" s="23"/>
      <c r="I12" s="23"/>
      <c r="J12" s="23"/>
      <c r="K12" s="23"/>
      <c r="L12" s="23"/>
      <c r="M12" s="23"/>
      <c r="N12" s="23"/>
      <c r="O12" s="84"/>
      <c r="P12" s="79"/>
    </row>
    <row r="13" spans="1:19" s="77" customFormat="1" x14ac:dyDescent="0.25">
      <c r="A13" s="76"/>
      <c r="B13" s="282"/>
      <c r="C13" s="79"/>
      <c r="D13" s="23"/>
      <c r="E13" s="23"/>
      <c r="F13" s="211" t="s">
        <v>2</v>
      </c>
      <c r="G13" s="309"/>
      <c r="H13" s="310"/>
      <c r="I13" s="72"/>
      <c r="J13" s="86"/>
      <c r="K13" s="72"/>
      <c r="L13" s="72"/>
      <c r="M13" s="72"/>
      <c r="N13" s="72"/>
      <c r="O13" s="84">
        <f>IF(Name="",0,1)</f>
        <v>0</v>
      </c>
      <c r="P13" s="79"/>
      <c r="S13" s="87"/>
    </row>
    <row r="14" spans="1:19" s="77" customFormat="1" ht="8.4499999999999993" customHeight="1" x14ac:dyDescent="0.25">
      <c r="A14" s="76"/>
      <c r="B14" s="282"/>
      <c r="C14" s="79"/>
      <c r="D14" s="23"/>
      <c r="E14" s="24"/>
      <c r="F14" s="212"/>
      <c r="G14" s="23"/>
      <c r="H14" s="23"/>
      <c r="I14" s="23"/>
      <c r="J14" s="23"/>
      <c r="K14" s="23"/>
      <c r="L14" s="23"/>
      <c r="M14" s="23"/>
      <c r="N14" s="23"/>
      <c r="O14" s="84"/>
      <c r="P14" s="79"/>
    </row>
    <row r="15" spans="1:19" s="77" customFormat="1" ht="13.9" customHeight="1" x14ac:dyDescent="0.25">
      <c r="A15" s="76"/>
      <c r="B15" s="282"/>
      <c r="C15" s="79"/>
      <c r="D15" s="23"/>
      <c r="E15" s="23"/>
      <c r="F15" s="211" t="s">
        <v>1</v>
      </c>
      <c r="G15" s="311"/>
      <c r="H15" s="312"/>
      <c r="I15" s="23"/>
      <c r="J15" s="23"/>
      <c r="K15" s="23"/>
      <c r="L15" s="23"/>
      <c r="M15" s="23"/>
      <c r="N15" s="23"/>
      <c r="O15" s="84">
        <f>IF(Mail="",0,1)</f>
        <v>0</v>
      </c>
      <c r="P15" s="79"/>
    </row>
    <row r="16" spans="1:19" s="77" customFormat="1" ht="9" customHeight="1" x14ac:dyDescent="0.25">
      <c r="A16" s="76"/>
      <c r="B16" s="282"/>
      <c r="C16" s="79"/>
      <c r="D16" s="25"/>
      <c r="E16" s="23"/>
      <c r="F16" s="211"/>
      <c r="G16" s="25"/>
      <c r="H16" s="25"/>
      <c r="I16" s="25"/>
      <c r="J16" s="25"/>
      <c r="K16" s="25"/>
      <c r="L16" s="25"/>
      <c r="M16" s="25"/>
      <c r="N16" s="25"/>
      <c r="O16" s="88"/>
      <c r="P16" s="79"/>
    </row>
    <row r="17" spans="1:30" s="77" customFormat="1" x14ac:dyDescent="0.25">
      <c r="A17" s="76"/>
      <c r="B17" s="282"/>
      <c r="C17" s="79"/>
      <c r="D17" s="25"/>
      <c r="E17" s="25"/>
      <c r="F17" s="213" t="s">
        <v>0</v>
      </c>
      <c r="G17" s="313"/>
      <c r="H17" s="314"/>
      <c r="I17" s="75" t="s">
        <v>425</v>
      </c>
      <c r="J17" s="25"/>
      <c r="K17" s="25"/>
      <c r="L17" s="25"/>
      <c r="M17" s="25"/>
      <c r="N17" s="25"/>
      <c r="O17" s="88">
        <f>IF(Date="",0,1)</f>
        <v>0</v>
      </c>
      <c r="P17" s="79"/>
    </row>
    <row r="18" spans="1:30" s="77" customFormat="1" x14ac:dyDescent="0.25">
      <c r="A18" s="285" t="s">
        <v>428</v>
      </c>
      <c r="B18" s="282"/>
      <c r="C18" s="79"/>
      <c r="D18" s="25"/>
      <c r="E18" s="25"/>
      <c r="F18" s="25"/>
      <c r="G18" s="25"/>
      <c r="H18" s="25"/>
      <c r="I18" s="25"/>
      <c r="J18" s="25"/>
      <c r="K18" s="25"/>
      <c r="L18" s="25"/>
      <c r="M18" s="25"/>
      <c r="N18" s="25"/>
      <c r="O18" s="88"/>
      <c r="P18" s="79"/>
    </row>
    <row r="19" spans="1:30" s="77" customFormat="1" x14ac:dyDescent="0.25">
      <c r="A19" s="76"/>
      <c r="B19" s="282"/>
      <c r="C19" s="79"/>
      <c r="D19" s="79"/>
      <c r="E19" s="79"/>
      <c r="F19" s="79"/>
      <c r="G19" s="79"/>
      <c r="H19" s="79"/>
      <c r="I19" s="79"/>
      <c r="J19" s="79"/>
      <c r="K19" s="79"/>
      <c r="L19" s="79"/>
      <c r="M19" s="79"/>
      <c r="N19" s="79"/>
      <c r="O19" s="278"/>
      <c r="P19" s="79"/>
    </row>
    <row r="20" spans="1:30" s="77" customFormat="1" ht="21" customHeight="1" x14ac:dyDescent="0.25">
      <c r="A20" s="284" t="s">
        <v>101</v>
      </c>
      <c r="B20" s="282"/>
      <c r="C20" s="79"/>
      <c r="D20" s="73" t="str">
        <f>COUNTA($D$2:$D19)&amp;"."</f>
        <v>1.</v>
      </c>
      <c r="E20" s="74" t="str">
        <f>VLOOKUP(D20,Table_Questions[#All],2,FALSE)</f>
        <v>Organisationens kontekst</v>
      </c>
      <c r="F20" s="83"/>
      <c r="G20" s="74" t="s">
        <v>366</v>
      </c>
      <c r="H20" s="83"/>
      <c r="I20" s="83"/>
      <c r="J20" s="83"/>
      <c r="K20" s="83"/>
      <c r="L20" s="83"/>
      <c r="M20" s="83"/>
      <c r="N20" s="83"/>
      <c r="O20" s="280"/>
      <c r="P20" s="79"/>
    </row>
    <row r="21" spans="1:30" s="77" customFormat="1" ht="17.25" customHeight="1" x14ac:dyDescent="0.25">
      <c r="A21" s="76" t="s">
        <v>101</v>
      </c>
      <c r="B21" s="282"/>
      <c r="C21" s="79"/>
      <c r="D21" s="25"/>
      <c r="E21" s="315"/>
      <c r="F21" s="315"/>
      <c r="G21" s="315"/>
      <c r="H21" s="315"/>
      <c r="I21" s="315"/>
      <c r="J21" s="315"/>
      <c r="K21" s="315"/>
      <c r="L21" s="25"/>
      <c r="M21" s="25"/>
      <c r="N21" s="25"/>
      <c r="O21" s="88"/>
      <c r="P21" s="79"/>
    </row>
    <row r="22" spans="1:30" s="77" customFormat="1" ht="16.149999999999999" customHeight="1" x14ac:dyDescent="0.3">
      <c r="A22" s="76" t="s">
        <v>101</v>
      </c>
      <c r="B22" s="282"/>
      <c r="C22" s="79"/>
      <c r="D22" s="25"/>
      <c r="E22" s="316" t="s">
        <v>205</v>
      </c>
      <c r="F22" s="316"/>
      <c r="G22" s="316"/>
      <c r="H22" s="316"/>
      <c r="I22" s="316"/>
      <c r="J22" s="316"/>
      <c r="K22" s="316"/>
      <c r="L22" s="173"/>
      <c r="M22" s="25"/>
      <c r="N22" s="25"/>
      <c r="O22" s="88"/>
      <c r="P22" s="79"/>
    </row>
    <row r="23" spans="1:30" s="77" customFormat="1" ht="18.600000000000001" customHeight="1" x14ac:dyDescent="0.25">
      <c r="A23" s="76" t="s">
        <v>101</v>
      </c>
      <c r="B23" s="282"/>
      <c r="C23" s="79"/>
      <c r="D23" s="25"/>
      <c r="E23" s="295" t="str">
        <f>VLOOKUP(D20,Table_Questions[],3,FALSE)</f>
        <v>At arbejde med informationssikkerhed kræver en systematisk tilgang til opgaven. Et af de første skridt er at skabe et forretningsoverblik for dermed at forstå omfanget af ISMS’et. 
Organisationens modenhed kan eksempelvis vurderes ud fra følgende elementer:
• Der eksisterer et klart formål for din organisation, eksempelvis i en politik eller en strategi.
• Organisationens ressourcer, herunder kompetencer, aktiver med betydning for informationssikkerheden, informationstyper og it-systemer er identificeret. Dette eksempelvis med en systemoversigt, en oversigt over hvilke informationer organisationen håndterer eller en kortlægning af forretningskritiske processer.
• Organisationens eksterne forhold og interessenter er identificeret og dokumenteret. Dette kan eksempelvis være gennem overblik over kontraktlige forpligtelser, lovkrav eller internationale aftaler samt parter, som modtager din organisations produkter, samarbejdspartnere, myndigheder og leverandører.
• ISMS’et er afgrænset i relation til om hele ministerområdet/styrelsen/organisationen er omfattet og hvilke aktiver, herunder informationstyper, aktiviteter og systemer, som er omfattet.
• Der eksisterer en organisering, der understøtter arbejdet med informationssikkerhed.
• Der eksisterer et udvalg, der sikrer, at ledelsen kontinuerligt forholder sig til de interne og eksterne forhold og interessenter, også når der sker ændringer.
Hent mere vejledning under "ledelsessystem" på sikkerdigital.dk.</v>
      </c>
      <c r="F23" s="295"/>
      <c r="G23" s="295"/>
      <c r="H23" s="295"/>
      <c r="I23" s="295"/>
      <c r="J23" s="295"/>
      <c r="K23" s="295"/>
      <c r="L23" s="174"/>
      <c r="M23" s="139"/>
      <c r="N23" s="138"/>
      <c r="O23" s="88"/>
      <c r="P23" s="79"/>
    </row>
    <row r="24" spans="1:30" s="77" customFormat="1" ht="18" customHeight="1" x14ac:dyDescent="0.25">
      <c r="A24" s="76" t="s">
        <v>101</v>
      </c>
      <c r="B24" s="282"/>
      <c r="C24" s="79"/>
      <c r="D24" s="25"/>
      <c r="E24" s="296"/>
      <c r="F24" s="296"/>
      <c r="G24" s="296"/>
      <c r="H24" s="296"/>
      <c r="I24" s="296"/>
      <c r="J24" s="296"/>
      <c r="K24" s="296"/>
      <c r="L24" s="174"/>
      <c r="M24" s="139"/>
      <c r="N24" s="138"/>
      <c r="O24" s="88"/>
      <c r="P24" s="79"/>
    </row>
    <row r="25" spans="1:30" s="77" customFormat="1" ht="35.25" customHeight="1" x14ac:dyDescent="0.25">
      <c r="A25" s="76" t="s">
        <v>101</v>
      </c>
      <c r="B25" s="282"/>
      <c r="C25" s="79"/>
      <c r="D25" s="25"/>
      <c r="E25" s="296"/>
      <c r="F25" s="296"/>
      <c r="G25" s="296"/>
      <c r="H25" s="296"/>
      <c r="I25" s="296"/>
      <c r="J25" s="296"/>
      <c r="K25" s="296"/>
      <c r="L25" s="174"/>
      <c r="M25" s="139"/>
      <c r="N25" s="138"/>
      <c r="O25" s="163"/>
      <c r="P25" s="79"/>
    </row>
    <row r="26" spans="1:30" s="77" customFormat="1" ht="193.5" customHeight="1" x14ac:dyDescent="0.25">
      <c r="A26" s="76" t="s">
        <v>101</v>
      </c>
      <c r="B26" s="282"/>
      <c r="C26" s="79"/>
      <c r="D26" s="25"/>
      <c r="E26" s="297"/>
      <c r="F26" s="297"/>
      <c r="G26" s="297"/>
      <c r="H26" s="297"/>
      <c r="I26" s="297"/>
      <c r="J26" s="297"/>
      <c r="K26" s="297"/>
      <c r="L26" s="174"/>
      <c r="M26" s="139"/>
      <c r="N26" s="138"/>
      <c r="O26" s="163"/>
      <c r="P26" s="79"/>
    </row>
    <row r="27" spans="1:30" s="77" customFormat="1" ht="32.25" customHeight="1" x14ac:dyDescent="0.35">
      <c r="A27" s="76" t="s">
        <v>101</v>
      </c>
      <c r="B27" s="282"/>
      <c r="C27" s="79"/>
      <c r="D27" s="25"/>
      <c r="E27" s="200" t="str">
        <f>"Spg. 1.1: "&amp;VLOOKUP(D20,Table_Questions[#All],4,FALSE)</f>
        <v>Spg. 1.1: Hvordan vurderer du organisationens modenhed i forhold til nedenstående udsagn?</v>
      </c>
      <c r="F27" s="89"/>
      <c r="G27" s="25"/>
      <c r="H27" s="25"/>
      <c r="I27" s="25"/>
      <c r="J27" s="25"/>
      <c r="K27" s="24"/>
      <c r="L27" s="24"/>
      <c r="M27" s="24"/>
      <c r="N27" s="24"/>
      <c r="O27" s="163"/>
      <c r="P27" s="79"/>
    </row>
    <row r="28" spans="1:30" s="77" customFormat="1" ht="14.45" customHeight="1" x14ac:dyDescent="0.25">
      <c r="A28" s="76" t="s">
        <v>101</v>
      </c>
      <c r="B28" s="282"/>
      <c r="C28" s="79"/>
      <c r="D28" s="25"/>
      <c r="E28" s="25"/>
      <c r="F28" s="25"/>
      <c r="G28" s="25"/>
      <c r="H28" s="25"/>
      <c r="I28" s="25"/>
      <c r="J28" s="25"/>
      <c r="K28" s="25"/>
      <c r="L28" s="25"/>
      <c r="M28" s="25"/>
      <c r="N28" s="25"/>
      <c r="O28" s="163"/>
      <c r="P28" s="79"/>
    </row>
    <row r="29" spans="1:30" s="77" customFormat="1" ht="16.149999999999999" customHeight="1" x14ac:dyDescent="0.35">
      <c r="A29" s="76" t="s">
        <v>101</v>
      </c>
      <c r="B29" s="282"/>
      <c r="C29" s="79"/>
      <c r="D29" s="25"/>
      <c r="E29" s="195" t="str">
        <f>S_Lookupsheet!$BC$2</f>
        <v>Vælg dit svar til højre for matricen</v>
      </c>
      <c r="F29" s="25"/>
      <c r="G29" s="25"/>
      <c r="H29" s="25"/>
      <c r="I29" s="25"/>
      <c r="J29" s="25"/>
      <c r="K29" s="25"/>
      <c r="L29" s="25"/>
      <c r="M29" s="25"/>
      <c r="N29" s="25"/>
      <c r="O29" s="163"/>
      <c r="P29" s="79"/>
    </row>
    <row r="30" spans="1:30" s="77" customFormat="1" ht="23.45" customHeight="1" thickBot="1" x14ac:dyDescent="0.3">
      <c r="A30" s="76" t="s">
        <v>101</v>
      </c>
      <c r="B30" s="282"/>
      <c r="C30" s="79"/>
      <c r="D30" s="25"/>
      <c r="E30" s="25"/>
      <c r="F30" s="25"/>
      <c r="G30" s="90" t="s">
        <v>4</v>
      </c>
      <c r="H30" s="90" t="s">
        <v>5</v>
      </c>
      <c r="I30" s="90" t="s">
        <v>6</v>
      </c>
      <c r="J30" s="90" t="s">
        <v>7</v>
      </c>
      <c r="K30" s="90" t="s">
        <v>14</v>
      </c>
      <c r="L30" s="90"/>
      <c r="M30" s="90" t="s">
        <v>168</v>
      </c>
      <c r="N30" s="90" t="s">
        <v>388</v>
      </c>
      <c r="O30" s="88"/>
      <c r="P30" s="79"/>
    </row>
    <row r="31" spans="1:30" s="77" customFormat="1" ht="126" customHeight="1" thickBot="1" x14ac:dyDescent="0.3">
      <c r="A31" s="76" t="s">
        <v>224</v>
      </c>
      <c r="B31" s="282" t="s">
        <v>76</v>
      </c>
      <c r="C31" s="79"/>
      <c r="D31" s="91"/>
      <c r="E31" s="288" t="s">
        <v>409</v>
      </c>
      <c r="F31" s="303"/>
      <c r="G31" s="178" t="str">
        <f>VLOOKUP($A31&amp;G$1,Table_Answers[],2,FALSE)</f>
        <v>Ad hoc</v>
      </c>
      <c r="H31" s="178" t="str">
        <f>VLOOKUP($A31&amp;H$1,Table_Answers[],2,FALSE)</f>
        <v>Gentaget</v>
      </c>
      <c r="I31" s="178" t="str">
        <f>VLOOKUP($A31&amp;I$1,Table_Answers[],2,FALSE)</f>
        <v>Procesunderstøttet</v>
      </c>
      <c r="J31" s="180" t="str">
        <f>VLOOKUP($A31&amp;J$1,Table_Answers[],2,FALSE)</f>
        <v>Styret og målbar</v>
      </c>
      <c r="K31" s="188" t="str">
        <f>VLOOKUP($A31&amp;K$1,Table_Answers[],2,FALSE)</f>
        <v>Optimeret</v>
      </c>
      <c r="L31" s="185"/>
      <c r="M31" s="186" t="s">
        <v>167</v>
      </c>
      <c r="N31" s="250" t="s">
        <v>389</v>
      </c>
      <c r="O31" s="163">
        <f>IF(K31="Ikke relevant",5,IF(_xlfn.IFNA(VLOOKUP(A31,MasterTable[[Spørgsmål]:[Aktuelt niveau - kvalitetsstyringsprincip]],3,FALSE),0)&gt;0,1,0))</f>
        <v>0</v>
      </c>
      <c r="P31" s="79"/>
      <c r="AD31" s="77">
        <f>F31</f>
        <v>0</v>
      </c>
    </row>
    <row r="32" spans="1:30" s="77" customFormat="1" ht="152.25" customHeight="1" thickBot="1" x14ac:dyDescent="0.3">
      <c r="A32" s="76" t="s">
        <v>225</v>
      </c>
      <c r="B32" s="282" t="s">
        <v>77</v>
      </c>
      <c r="C32" s="79"/>
      <c r="D32" s="25"/>
      <c r="E32" s="288" t="s">
        <v>408</v>
      </c>
      <c r="F32" s="303"/>
      <c r="G32" s="178" t="str">
        <f>VLOOKUP($A32&amp;G$1,Table_Answers[],2,FALSE)</f>
        <v>Ad hoc</v>
      </c>
      <c r="H32" s="178" t="str">
        <f>VLOOKUP($A32&amp;H$1,Table_Answers[],2,FALSE)</f>
        <v>Gentaget</v>
      </c>
      <c r="I32" s="178" t="str">
        <f>VLOOKUP($A32&amp;I$1,Table_Answers[],2,FALSE)</f>
        <v>Procesunderstøttet</v>
      </c>
      <c r="J32" s="189" t="str">
        <f>VLOOKUP($A32&amp;J$1,Table_Answers[],2,FALSE)</f>
        <v>Styret og målbar</v>
      </c>
      <c r="K32" s="188" t="str">
        <f>VLOOKUP($A32&amp;K$1,Table_Answers[],2,FALSE)</f>
        <v>Optimeret</v>
      </c>
      <c r="L32" s="185"/>
      <c r="M32" s="186" t="s">
        <v>167</v>
      </c>
      <c r="N32" s="250" t="s">
        <v>389</v>
      </c>
      <c r="O32" s="163">
        <f>IF(K32="Ikke relevant",5,IF(_xlfn.IFNA(VLOOKUP(A32,MasterTable[[Spørgsmål]:[Aktuelt niveau - kvalitetsstyringsprincip]],3,FALSE),0)&gt;0,1,0))</f>
        <v>0</v>
      </c>
      <c r="P32" s="79"/>
      <c r="AD32" s="77">
        <f t="shared" ref="AD32:AD34" si="0">F32</f>
        <v>0</v>
      </c>
    </row>
    <row r="33" spans="1:30" s="77" customFormat="1" ht="229.5" customHeight="1" thickBot="1" x14ac:dyDescent="0.3">
      <c r="A33" s="76" t="s">
        <v>226</v>
      </c>
      <c r="B33" s="282" t="s">
        <v>78</v>
      </c>
      <c r="C33" s="79"/>
      <c r="D33" s="25"/>
      <c r="E33" s="288" t="s">
        <v>478</v>
      </c>
      <c r="F33" s="303"/>
      <c r="G33" s="190" t="str">
        <f>VLOOKUP($A33&amp;G$1,Table_Answers[],2,FALSE)</f>
        <v>Ad hoc</v>
      </c>
      <c r="H33" s="190" t="str">
        <f>VLOOKUP($A33&amp;H$1,Table_Answers[],2,FALSE)</f>
        <v>Gentaget</v>
      </c>
      <c r="I33" s="190" t="str">
        <f>VLOOKUP($A33&amp;I$1,Table_Answers[],2,FALSE)</f>
        <v>Procesunderstøttet</v>
      </c>
      <c r="J33" s="191" t="str">
        <f>VLOOKUP($A33&amp;J$1,Table_Answers[],2,FALSE)</f>
        <v>Styret og målbar</v>
      </c>
      <c r="K33" s="188" t="str">
        <f>VLOOKUP($A33&amp;K$1,Table_Answers[],2,FALSE)</f>
        <v>Optimeret</v>
      </c>
      <c r="L33" s="185"/>
      <c r="M33" s="186" t="s">
        <v>167</v>
      </c>
      <c r="N33" s="250" t="s">
        <v>389</v>
      </c>
      <c r="O33" s="163">
        <f>IF(K33="Ikke relevant",5,IF(_xlfn.IFNA(VLOOKUP(A33,MasterTable[[Spørgsmål]:[Aktuelt niveau - kvalitetsstyringsprincip]],3,FALSE),0)&gt;0,1,0))</f>
        <v>0</v>
      </c>
      <c r="P33" s="79"/>
      <c r="AD33" s="77">
        <f t="shared" si="0"/>
        <v>0</v>
      </c>
    </row>
    <row r="34" spans="1:30" s="77" customFormat="1" ht="111" customHeight="1" thickBot="1" x14ac:dyDescent="0.3">
      <c r="A34" s="76" t="s">
        <v>227</v>
      </c>
      <c r="B34" s="282" t="s">
        <v>85</v>
      </c>
      <c r="C34" s="79"/>
      <c r="D34" s="166"/>
      <c r="E34" s="293" t="s">
        <v>392</v>
      </c>
      <c r="F34" s="294"/>
      <c r="G34" s="192" t="str">
        <f>VLOOKUP($A34&amp;G$1,Table_Answers[],2,FALSE)</f>
        <v>Ad hoc</v>
      </c>
      <c r="H34" s="193" t="str">
        <f>VLOOKUP($A34&amp;H$1,Table_Answers[],2,FALSE)</f>
        <v>Gentaget</v>
      </c>
      <c r="I34" s="194" t="str">
        <f>VLOOKUP($A34&amp;I$1,Table_Answers[],2,FALSE)</f>
        <v>Procesunderstøttet</v>
      </c>
      <c r="J34" s="189" t="str">
        <f>VLOOKUP($A34&amp;J$1,Table_Answers[],2,FALSE)</f>
        <v>Styret og målbar</v>
      </c>
      <c r="K34" s="188" t="str">
        <f>VLOOKUP($A34&amp;K$1,Table_Answers[],2,FALSE)</f>
        <v>Optimeret</v>
      </c>
      <c r="L34" s="261"/>
      <c r="M34" s="186" t="s">
        <v>167</v>
      </c>
      <c r="N34" s="250" t="s">
        <v>389</v>
      </c>
      <c r="O34" s="163">
        <f>IF(K34="Ikke relevant",5,IF(_xlfn.IFNA(VLOOKUP(A34,MasterTable[[Spørgsmål]:[Aktuelt niveau - kvalitetsstyringsprincip]],3,FALSE),0)&gt;0,1,0))</f>
        <v>0</v>
      </c>
      <c r="P34" s="79"/>
      <c r="AD34" s="77">
        <f t="shared" si="0"/>
        <v>0</v>
      </c>
    </row>
    <row r="35" spans="1:30" s="77" customFormat="1" ht="111" hidden="1" customHeight="1" thickBot="1" x14ac:dyDescent="0.3">
      <c r="A35" s="76" t="s">
        <v>228</v>
      </c>
      <c r="B35" s="282" t="s">
        <v>86</v>
      </c>
      <c r="C35" s="79"/>
      <c r="D35" s="166"/>
      <c r="E35" s="293" t="s">
        <v>120</v>
      </c>
      <c r="F35" s="294"/>
      <c r="G35" s="192" t="str">
        <f>VLOOKUP($A35&amp;G$1,Table_Answers[],2,FALSE)</f>
        <v>Ikke relevant</v>
      </c>
      <c r="H35" s="193" t="str">
        <f>VLOOKUP($A35&amp;H$1,Table_Answers[],2,FALSE)</f>
        <v>Ikke relevant</v>
      </c>
      <c r="I35" s="194" t="str">
        <f>VLOOKUP($A35&amp;I$1,Table_Answers[],2,FALSE)</f>
        <v>Ikke relevant</v>
      </c>
      <c r="J35" s="189" t="str">
        <f>VLOOKUP($A35&amp;J$1,Table_Answers[],2,FALSE)</f>
        <v>Ikke relevant</v>
      </c>
      <c r="K35" s="188" t="str">
        <f>VLOOKUP($A35&amp;K$1,Table_Answers[],2,FALSE)</f>
        <v>Ikke relevant</v>
      </c>
      <c r="L35" s="261"/>
      <c r="M35" s="186"/>
      <c r="N35" s="250" t="s">
        <v>167</v>
      </c>
      <c r="O35" s="163">
        <f>IF(K35="Ikke relevant",5,IF(_xlfn.IFNA(VLOOKUP(A35,MasterTable[[Spørgsmål]:[Aktuelt niveau - kvalitetsstyringsprincip]],3,FALSE),0)&gt;0,1,0))</f>
        <v>5</v>
      </c>
      <c r="P35" s="79"/>
    </row>
    <row r="36" spans="1:30" s="77" customFormat="1" ht="111" hidden="1" customHeight="1" thickBot="1" x14ac:dyDescent="0.3">
      <c r="A36" s="76" t="s">
        <v>229</v>
      </c>
      <c r="B36" s="282" t="s">
        <v>87</v>
      </c>
      <c r="C36" s="79"/>
      <c r="D36" s="166"/>
      <c r="E36" s="293" t="s">
        <v>121</v>
      </c>
      <c r="F36" s="294"/>
      <c r="G36" s="192" t="str">
        <f>VLOOKUP($A36&amp;G$1,Table_Answers[],2,FALSE)</f>
        <v>Ikke relevant</v>
      </c>
      <c r="H36" s="193" t="str">
        <f>VLOOKUP($A36&amp;H$1,Table_Answers[],2,FALSE)</f>
        <v>Ikke relevant</v>
      </c>
      <c r="I36" s="194" t="str">
        <f>VLOOKUP($A36&amp;I$1,Table_Answers[],2,FALSE)</f>
        <v>Ikke relevant</v>
      </c>
      <c r="J36" s="189" t="str">
        <f>VLOOKUP($A36&amp;J$1,Table_Answers[],2,FALSE)</f>
        <v>Ikke relevant</v>
      </c>
      <c r="K36" s="188" t="str">
        <f>VLOOKUP($A36&amp;K$1,Table_Answers[],2,FALSE)</f>
        <v>Ikke relevant</v>
      </c>
      <c r="L36" s="261"/>
      <c r="M36" s="186"/>
      <c r="N36" s="250" t="s">
        <v>167</v>
      </c>
      <c r="O36" s="163">
        <f>IF(K36="Ikke relevant",5,IF(_xlfn.IFNA(VLOOKUP(A36,MasterTable[[Spørgsmål]:[Aktuelt niveau - kvalitetsstyringsprincip]],3,FALSE),0)&gt;0,1,0))</f>
        <v>5</v>
      </c>
      <c r="P36" s="79"/>
      <c r="S36" s="77" t="str">
        <f>"✴ "&amp;"Med afsæt i din organisations vurdering af væsentligheden af de forskellige kvalitetsprincipper, hvordan vurderer du samlet set modenheden af "&amp;E20&amp;"?"</f>
        <v>✴ Med afsæt i din organisations vurdering af væsentligheden af de forskellige kvalitetsprincipper, hvordan vurderer du samlet set modenheden af Organisationens kontekst?</v>
      </c>
    </row>
    <row r="37" spans="1:30" s="77" customFormat="1" ht="17.45" hidden="1" customHeight="1" thickBot="1" x14ac:dyDescent="0.3">
      <c r="A37" s="76" t="s">
        <v>101</v>
      </c>
      <c r="B37" s="282"/>
      <c r="C37" s="79"/>
      <c r="D37" s="25"/>
      <c r="E37" s="92"/>
      <c r="F37" s="48"/>
      <c r="G37" s="24"/>
      <c r="H37" s="24"/>
      <c r="I37" s="24"/>
      <c r="J37" s="24"/>
      <c r="K37" s="93"/>
      <c r="L37" s="93"/>
      <c r="M37" s="93"/>
      <c r="N37" s="93"/>
      <c r="O37" s="163"/>
      <c r="P37" s="79"/>
    </row>
    <row r="38" spans="1:30" s="77" customFormat="1" ht="90" customHeight="1" thickBot="1" x14ac:dyDescent="0.3">
      <c r="A38" s="76" t="s">
        <v>429</v>
      </c>
      <c r="B38" s="282" t="s">
        <v>426</v>
      </c>
      <c r="C38" s="79"/>
      <c r="D38" s="25"/>
      <c r="E38" s="236"/>
      <c r="F38" s="308" t="str">
        <f>"Spg. 1.2: "&amp;"Med afsæt i din organisations vurdering af væsentligheden af de forskellige udsagn, hvordan vurderer du samlet set modenheden af "&amp;E20&amp;"?"</f>
        <v>Spg. 1.2: Med afsæt i din organisations vurdering af væsentligheden af de forskellige udsagn, hvordan vurderer du samlet set modenheden af Organisationens kontekst?</v>
      </c>
      <c r="G38" s="308"/>
      <c r="H38" s="308"/>
      <c r="I38" s="308"/>
      <c r="J38" s="308"/>
      <c r="K38" s="308"/>
      <c r="L38" s="185"/>
      <c r="M38" s="201" t="s">
        <v>167</v>
      </c>
      <c r="N38" s="250" t="s">
        <v>389</v>
      </c>
      <c r="O38" s="276">
        <f>IFERROR(IF(MATCH(M38,Table_Spørgeramme[Spørgeramme],0)-1&gt;0,2,0),0)</f>
        <v>0</v>
      </c>
      <c r="P38" s="79"/>
      <c r="S38" s="318" t="s">
        <v>460</v>
      </c>
      <c r="T38" s="319"/>
      <c r="U38" s="319"/>
      <c r="V38" s="319"/>
      <c r="W38" s="319"/>
      <c r="X38" s="320"/>
    </row>
    <row r="39" spans="1:30" s="77" customFormat="1" ht="66.75" customHeight="1" thickBot="1" x14ac:dyDescent="0.3">
      <c r="A39" s="76" t="s">
        <v>430</v>
      </c>
      <c r="B39" s="282" t="s">
        <v>427</v>
      </c>
      <c r="C39" s="79"/>
      <c r="D39" s="25"/>
      <c r="E39" s="25"/>
      <c r="F39" s="25"/>
      <c r="G39" s="25"/>
      <c r="H39" s="25"/>
      <c r="I39" s="25"/>
      <c r="J39" s="25"/>
      <c r="K39" s="25"/>
      <c r="L39" s="271"/>
      <c r="M39" s="201" t="s">
        <v>7</v>
      </c>
      <c r="N39" s="272" t="s">
        <v>391</v>
      </c>
      <c r="O39" s="276"/>
      <c r="P39" s="79"/>
      <c r="S39" s="321"/>
      <c r="T39" s="322"/>
      <c r="U39" s="322"/>
      <c r="V39" s="322"/>
      <c r="W39" s="322"/>
      <c r="X39" s="323"/>
    </row>
    <row r="40" spans="1:30" s="77" customFormat="1" ht="17.45" customHeight="1" x14ac:dyDescent="0.25">
      <c r="A40" s="76" t="s">
        <v>101</v>
      </c>
      <c r="B40" s="282"/>
      <c r="C40" s="79"/>
      <c r="D40" s="79"/>
      <c r="E40" s="79"/>
      <c r="F40" s="79"/>
      <c r="G40" s="79"/>
      <c r="H40" s="79"/>
      <c r="I40" s="79"/>
      <c r="J40" s="79"/>
      <c r="K40" s="79"/>
      <c r="L40" s="79"/>
      <c r="M40" s="79"/>
      <c r="N40" s="79"/>
      <c r="O40" s="278"/>
      <c r="P40" s="79"/>
    </row>
    <row r="41" spans="1:30" ht="21" customHeight="1" x14ac:dyDescent="0.25">
      <c r="A41" s="76" t="s">
        <v>102</v>
      </c>
      <c r="B41" s="282"/>
      <c r="C41" s="79"/>
      <c r="D41" s="73" t="str">
        <f>COUNTA($D$2:$D40)&amp;"."</f>
        <v>2.</v>
      </c>
      <c r="E41" s="74" t="str">
        <f>VLOOKUP(D41,Table_Questions[#All],2,FALSE)</f>
        <v>Lederskab</v>
      </c>
      <c r="F41" s="83"/>
      <c r="G41" s="74" t="s">
        <v>367</v>
      </c>
      <c r="H41" s="83"/>
      <c r="I41" s="83"/>
      <c r="J41" s="83"/>
      <c r="K41" s="83"/>
      <c r="L41" s="83"/>
      <c r="M41" s="83"/>
      <c r="N41" s="83"/>
      <c r="O41" s="280"/>
      <c r="P41" s="79"/>
      <c r="Q41" s="77"/>
      <c r="R41" s="77"/>
      <c r="S41" s="77"/>
      <c r="T41" s="77"/>
      <c r="U41" s="77"/>
      <c r="V41" s="77"/>
      <c r="W41" s="77"/>
      <c r="X41" s="77"/>
      <c r="Y41" s="77"/>
      <c r="Z41" s="77"/>
    </row>
    <row r="42" spans="1:30" ht="24.6" customHeight="1" x14ac:dyDescent="0.3">
      <c r="A42" s="76" t="s">
        <v>102</v>
      </c>
      <c r="B42" s="282"/>
      <c r="C42" s="79"/>
      <c r="E42" s="307" t="s">
        <v>205</v>
      </c>
      <c r="F42" s="307"/>
      <c r="G42" s="307"/>
      <c r="H42" s="307"/>
      <c r="I42" s="307"/>
      <c r="J42" s="307"/>
      <c r="K42" s="307"/>
      <c r="P42" s="79"/>
      <c r="Q42" s="77"/>
      <c r="R42" s="77"/>
      <c r="S42" s="77"/>
      <c r="T42" s="77"/>
      <c r="U42" s="77"/>
      <c r="V42" s="77"/>
      <c r="W42" s="77"/>
      <c r="X42" s="77"/>
      <c r="Y42" s="77"/>
      <c r="Z42" s="77"/>
    </row>
    <row r="43" spans="1:30" ht="18.600000000000001" customHeight="1" x14ac:dyDescent="0.25">
      <c r="A43" s="76" t="s">
        <v>102</v>
      </c>
      <c r="B43" s="282"/>
      <c r="C43" s="79"/>
      <c r="E43" s="295" t="str">
        <f>VLOOKUP(D41,Table_Questions[],3,FALSE)</f>
        <v>Ledelsesforankring og en formel organisering er en grundlæggende forudsætning for al sikkerhedsarbejde. Organisationens modenhed kan eksempelvis vurderes ud fra følgende elementer: 
• Organiseringen af sikkerhedsarbejdet er formelt beskrevet, og der er en tydelig rolle og ansvarsfordeling i relation til opgaver og processer, som har betydning for informationssikkerheden. 
• Alle involverede parter kender til rolle- og ansvarsfordelingen.
• Der eksisterer en klar ledelsesorganisering omkring informationssikkerheden i organisationen. Topledelsens rolle er ligeledes klar.
• Ledelsen engagerer sig systematisk i informationssikkerhed, eksempelvis gennem regelmæssige møder og faste processer.
• Der eksisterer en ledelsesgodkendt informationssikkerhedspolitik. Politikken opdateres regelmæssigt og udbredes til de rette interessenter. Organisationen ved, hvor politikken kan findes.
• Der er aktivt fastlagt et niveau for sikkerhed i din organisation, herunder det accepterede risikoniveau.
Hent mere vejledning om lederskab i ISMS under "ledelsessystem" på sikkerdigital.dk.</v>
      </c>
      <c r="F43" s="295"/>
      <c r="G43" s="295"/>
      <c r="H43" s="295"/>
      <c r="I43" s="295"/>
      <c r="J43" s="295"/>
      <c r="K43" s="295"/>
      <c r="L43" s="168"/>
      <c r="M43" s="139"/>
      <c r="N43" s="138"/>
      <c r="P43" s="79"/>
      <c r="Q43" s="77"/>
      <c r="R43" s="77"/>
      <c r="S43" s="77"/>
      <c r="T43" s="77"/>
      <c r="U43" s="77"/>
      <c r="V43" s="77"/>
      <c r="W43" s="77"/>
      <c r="X43" s="77"/>
      <c r="Y43" s="77"/>
      <c r="Z43" s="77"/>
    </row>
    <row r="44" spans="1:30" ht="18" customHeight="1" x14ac:dyDescent="0.25">
      <c r="A44" s="76" t="s">
        <v>102</v>
      </c>
      <c r="B44" s="282"/>
      <c r="C44" s="79"/>
      <c r="E44" s="296"/>
      <c r="F44" s="296"/>
      <c r="G44" s="296"/>
      <c r="H44" s="296"/>
      <c r="I44" s="296"/>
      <c r="J44" s="296"/>
      <c r="K44" s="296"/>
      <c r="L44" s="168"/>
      <c r="M44" s="139"/>
      <c r="N44" s="138"/>
      <c r="P44" s="79"/>
      <c r="Q44" s="77"/>
      <c r="R44" s="77"/>
      <c r="S44" s="77"/>
      <c r="T44" s="77"/>
      <c r="U44" s="77"/>
      <c r="V44" s="77"/>
      <c r="W44" s="77"/>
      <c r="X44" s="77"/>
      <c r="Y44" s="77"/>
      <c r="Z44" s="77"/>
    </row>
    <row r="45" spans="1:30" ht="16.899999999999999" customHeight="1" x14ac:dyDescent="0.25">
      <c r="A45" s="76" t="s">
        <v>102</v>
      </c>
      <c r="B45" s="282"/>
      <c r="C45" s="79"/>
      <c r="E45" s="296"/>
      <c r="F45" s="296"/>
      <c r="G45" s="296"/>
      <c r="H45" s="296"/>
      <c r="I45" s="296"/>
      <c r="J45" s="296"/>
      <c r="K45" s="296"/>
      <c r="L45" s="168"/>
      <c r="M45" s="139"/>
      <c r="N45" s="138"/>
      <c r="O45" s="163"/>
      <c r="P45" s="79"/>
      <c r="Q45" s="77"/>
      <c r="R45" s="77"/>
      <c r="S45" s="77"/>
      <c r="T45" s="77"/>
      <c r="U45" s="77"/>
      <c r="V45" s="77"/>
      <c r="W45" s="77"/>
      <c r="X45" s="77"/>
      <c r="Y45" s="77"/>
      <c r="Z45" s="77"/>
    </row>
    <row r="46" spans="1:30" ht="180" customHeight="1" x14ac:dyDescent="0.25">
      <c r="A46" s="76" t="s">
        <v>102</v>
      </c>
      <c r="B46" s="282"/>
      <c r="C46" s="79"/>
      <c r="E46" s="297"/>
      <c r="F46" s="297"/>
      <c r="G46" s="297"/>
      <c r="H46" s="297"/>
      <c r="I46" s="297"/>
      <c r="J46" s="297"/>
      <c r="K46" s="297"/>
      <c r="L46" s="168"/>
      <c r="M46" s="139"/>
      <c r="N46" s="138"/>
      <c r="O46" s="163"/>
      <c r="P46" s="79"/>
      <c r="Q46" s="77"/>
      <c r="R46" s="77"/>
      <c r="S46" s="77"/>
      <c r="T46" s="77"/>
      <c r="U46" s="77"/>
      <c r="V46" s="77"/>
      <c r="W46" s="77"/>
      <c r="X46" s="77"/>
      <c r="Y46" s="77"/>
      <c r="Z46" s="77"/>
    </row>
    <row r="47" spans="1:30" ht="33" customHeight="1" x14ac:dyDescent="0.35">
      <c r="A47" s="76" t="s">
        <v>102</v>
      </c>
      <c r="B47" s="282"/>
      <c r="C47" s="79"/>
      <c r="E47" s="200" t="str">
        <f>"Spg. 2.1: "&amp;VLOOKUP(D41,Table_Questions[#All],4,FALSE)</f>
        <v>Spg. 2.1: Hvordan vurderer du organisationens modenhed i forhold til nedenstående udsagn?</v>
      </c>
      <c r="F47" s="199"/>
      <c r="K47" s="24"/>
      <c r="L47" s="24"/>
      <c r="M47" s="24"/>
      <c r="N47" s="24"/>
      <c r="O47" s="163"/>
      <c r="P47" s="79"/>
      <c r="Q47" s="77"/>
      <c r="R47" s="77"/>
      <c r="S47" s="77"/>
      <c r="T47" s="77"/>
      <c r="U47" s="77"/>
      <c r="V47" s="77"/>
      <c r="W47" s="77"/>
      <c r="X47" s="77"/>
      <c r="Y47" s="77"/>
      <c r="Z47" s="77"/>
    </row>
    <row r="48" spans="1:30" ht="14.45" customHeight="1" x14ac:dyDescent="0.25">
      <c r="A48" s="76" t="s">
        <v>102</v>
      </c>
      <c r="B48" s="282"/>
      <c r="C48" s="79"/>
      <c r="O48" s="163"/>
      <c r="P48" s="79"/>
      <c r="Q48" s="77"/>
      <c r="R48" s="77"/>
      <c r="S48" s="77"/>
      <c r="T48" s="77"/>
      <c r="U48" s="77"/>
      <c r="V48" s="77"/>
      <c r="W48" s="77"/>
      <c r="X48" s="77"/>
      <c r="Y48" s="77"/>
      <c r="Z48" s="77"/>
    </row>
    <row r="49" spans="1:26" ht="16.149999999999999" customHeight="1" x14ac:dyDescent="0.35">
      <c r="A49" s="76" t="s">
        <v>102</v>
      </c>
      <c r="B49" s="282"/>
      <c r="C49" s="79"/>
      <c r="E49" s="195" t="str">
        <f>S_Lookupsheet!$BC$2</f>
        <v>Vælg dit svar til højre for matricen</v>
      </c>
      <c r="O49" s="163"/>
      <c r="P49" s="79"/>
      <c r="Q49" s="77"/>
      <c r="R49" s="77"/>
      <c r="S49" s="77"/>
      <c r="T49" s="77"/>
      <c r="U49" s="77"/>
      <c r="V49" s="77"/>
      <c r="W49" s="77"/>
      <c r="X49" s="77"/>
      <c r="Y49" s="77"/>
      <c r="Z49" s="77"/>
    </row>
    <row r="50" spans="1:26" ht="23.45" customHeight="1" thickBot="1" x14ac:dyDescent="0.3">
      <c r="A50" s="76" t="s">
        <v>102</v>
      </c>
      <c r="B50" s="282"/>
      <c r="C50" s="79"/>
      <c r="G50" s="90" t="s">
        <v>4</v>
      </c>
      <c r="H50" s="90" t="s">
        <v>5</v>
      </c>
      <c r="I50" s="90" t="s">
        <v>6</v>
      </c>
      <c r="J50" s="90" t="s">
        <v>7</v>
      </c>
      <c r="K50" s="90" t="s">
        <v>14</v>
      </c>
      <c r="L50" s="90"/>
      <c r="M50" s="90" t="s">
        <v>168</v>
      </c>
      <c r="N50" s="90" t="s">
        <v>388</v>
      </c>
      <c r="P50" s="79"/>
      <c r="Q50" s="77"/>
      <c r="R50" s="77"/>
      <c r="S50" s="77"/>
      <c r="T50" s="77"/>
      <c r="U50" s="77"/>
      <c r="V50" s="77"/>
      <c r="W50" s="77"/>
      <c r="X50" s="77"/>
      <c r="Y50" s="77"/>
      <c r="Z50" s="77"/>
    </row>
    <row r="51" spans="1:26" ht="227.25" customHeight="1" thickBot="1" x14ac:dyDescent="0.3">
      <c r="A51" s="76" t="s">
        <v>230</v>
      </c>
      <c r="B51" s="282" t="s">
        <v>76</v>
      </c>
      <c r="C51" s="79"/>
      <c r="D51" s="91"/>
      <c r="E51" s="288" t="s">
        <v>423</v>
      </c>
      <c r="F51" s="303"/>
      <c r="G51" s="178" t="str">
        <f>VLOOKUP($A51&amp;G$1,Table_Answers[],2,FALSE)</f>
        <v>Ad hoc</v>
      </c>
      <c r="H51" s="178" t="str">
        <f>VLOOKUP($A51&amp;H$1,Table_Answers[],2,FALSE)</f>
        <v>Gentaget</v>
      </c>
      <c r="I51" s="178" t="str">
        <f>VLOOKUP($A51&amp;I$1,Table_Answers[],2,FALSE)</f>
        <v>Procesunderstøttet</v>
      </c>
      <c r="J51" s="179" t="str">
        <f>VLOOKUP($A51&amp;J$1,Table_Answers[],2,FALSE)</f>
        <v>Styret og målbar</v>
      </c>
      <c r="K51" s="208" t="str">
        <f>VLOOKUP($A51&amp;K$1,Table_Answers[],2,FALSE)</f>
        <v>Optimeret</v>
      </c>
      <c r="L51" s="253"/>
      <c r="M51" s="165" t="s">
        <v>167</v>
      </c>
      <c r="N51" s="250" t="s">
        <v>389</v>
      </c>
      <c r="O51" s="163">
        <f>IF(K51="Ikke relevant",5,IF(_xlfn.IFNA(VLOOKUP(A51,MasterTable[[Spørgsmål]:[Aktuelt niveau - kvalitetsstyringsprincip]],3,FALSE),0)&gt;0,1,0))</f>
        <v>0</v>
      </c>
      <c r="P51" s="79"/>
      <c r="Q51" s="77"/>
      <c r="R51" s="77"/>
      <c r="S51" s="77"/>
      <c r="T51" s="77"/>
      <c r="U51" s="77"/>
      <c r="V51" s="77"/>
      <c r="W51" s="77"/>
      <c r="X51" s="77"/>
      <c r="Y51" s="77"/>
      <c r="Z51" s="77"/>
    </row>
    <row r="52" spans="1:26" ht="156" customHeight="1" thickBot="1" x14ac:dyDescent="0.3">
      <c r="A52" s="76" t="s">
        <v>231</v>
      </c>
      <c r="B52" s="282" t="s">
        <v>77</v>
      </c>
      <c r="C52" s="79"/>
      <c r="E52" s="288" t="s">
        <v>393</v>
      </c>
      <c r="F52" s="303"/>
      <c r="G52" s="178" t="str">
        <f>VLOOKUP($A52&amp;G$1,Table_Answers[],2,FALSE)</f>
        <v>Ad hoc</v>
      </c>
      <c r="H52" s="179" t="str">
        <f>VLOOKUP($A52&amp;H$1,Table_Answers[],2,FALSE)</f>
        <v>Gentaget</v>
      </c>
      <c r="I52" s="178" t="str">
        <f>VLOOKUP($A52&amp;I$1,Table_Answers[],2,FALSE)</f>
        <v>Procesunderstøttet</v>
      </c>
      <c r="J52" s="178" t="str">
        <f>VLOOKUP($A52&amp;J$1,Table_Answers[],2,FALSE)</f>
        <v>Styret og målbar</v>
      </c>
      <c r="K52" s="208" t="str">
        <f>VLOOKUP($A52&amp;K$1,Table_Answers[],2,FALSE)</f>
        <v>Optimeret</v>
      </c>
      <c r="L52" s="253"/>
      <c r="M52" s="254" t="s">
        <v>167</v>
      </c>
      <c r="N52" s="250" t="s">
        <v>389</v>
      </c>
      <c r="O52" s="163">
        <f>IF(K52="Ikke relevant",5,IF(_xlfn.IFNA(VLOOKUP(A52,MasterTable[[Spørgsmål]:[Aktuelt niveau - kvalitetsstyringsprincip]],3,FALSE),0)&gt;0,1,0))</f>
        <v>0</v>
      </c>
      <c r="P52" s="79"/>
      <c r="Q52" s="77"/>
      <c r="R52" s="77"/>
      <c r="S52" s="77"/>
      <c r="T52" s="77"/>
      <c r="U52" s="77"/>
      <c r="V52" s="77"/>
      <c r="W52" s="77"/>
      <c r="X52" s="77"/>
      <c r="Y52" s="77"/>
      <c r="Z52" s="77"/>
    </row>
    <row r="53" spans="1:26" ht="127.5" customHeight="1" thickBot="1" x14ac:dyDescent="0.3">
      <c r="A53" s="76" t="s">
        <v>232</v>
      </c>
      <c r="B53" s="282" t="s">
        <v>78</v>
      </c>
      <c r="C53" s="79"/>
      <c r="E53" s="293" t="s">
        <v>394</v>
      </c>
      <c r="F53" s="304"/>
      <c r="G53" s="178" t="str">
        <f>VLOOKUP($A53&amp;G$1,Table_Answers[],2,FALSE)</f>
        <v>Ad hoc</v>
      </c>
      <c r="H53" s="179" t="str">
        <f>VLOOKUP($A53&amp;H$1,Table_Answers[],2,FALSE)</f>
        <v>Gentaget</v>
      </c>
      <c r="I53" s="178" t="str">
        <f>VLOOKUP($A53&amp;I$1,Table_Answers[],2,FALSE)</f>
        <v>Procesunderstøttet</v>
      </c>
      <c r="J53" s="178" t="str">
        <f>VLOOKUP($A53&amp;J$1,Table_Answers[],2,FALSE)</f>
        <v>Styret og målbar</v>
      </c>
      <c r="K53" s="210" t="str">
        <f>VLOOKUP($A53&amp;K$1,Table_Answers[],2,FALSE)</f>
        <v>Optimeret</v>
      </c>
      <c r="L53" s="253"/>
      <c r="M53" s="165" t="s">
        <v>167</v>
      </c>
      <c r="N53" s="250" t="s">
        <v>389</v>
      </c>
      <c r="O53" s="163">
        <f>IF(K53="Ikke relevant",5,IF(_xlfn.IFNA(VLOOKUP(A53,MasterTable[[Spørgsmål]:[Aktuelt niveau - kvalitetsstyringsprincip]],3,FALSE),0)&gt;0,1,0))</f>
        <v>0</v>
      </c>
      <c r="P53" s="79"/>
      <c r="Q53" s="77"/>
      <c r="R53" s="77"/>
      <c r="S53" s="77"/>
      <c r="T53" s="77"/>
      <c r="U53" s="77"/>
      <c r="V53" s="77"/>
      <c r="W53" s="77"/>
      <c r="X53" s="77"/>
      <c r="Y53" s="77"/>
      <c r="Z53" s="77"/>
    </row>
    <row r="54" spans="1:26" ht="127.5" hidden="1" customHeight="1" thickBot="1" x14ac:dyDescent="0.3">
      <c r="A54" s="76" t="s">
        <v>233</v>
      </c>
      <c r="B54" s="282" t="s">
        <v>85</v>
      </c>
      <c r="C54" s="79"/>
      <c r="E54" s="293" t="s">
        <v>119</v>
      </c>
      <c r="F54" s="304"/>
      <c r="G54" s="178" t="str">
        <f>VLOOKUP($A54&amp;G$1,Table_Answers[],2,FALSE)</f>
        <v>Ikke relevant</v>
      </c>
      <c r="H54" s="179" t="str">
        <f>VLOOKUP($A54&amp;H$1,Table_Answers[],2,FALSE)</f>
        <v>Ikke relevant</v>
      </c>
      <c r="I54" s="178" t="str">
        <f>VLOOKUP($A54&amp;I$1,Table_Answers[],2,FALSE)</f>
        <v>Ikke relevant</v>
      </c>
      <c r="J54" s="178" t="str">
        <f>VLOOKUP($A54&amp;J$1,Table_Answers[],2,FALSE)</f>
        <v>Ikke relevant</v>
      </c>
      <c r="K54" s="210" t="str">
        <f>VLOOKUP($A54&amp;K$1,Table_Answers[],2,FALSE)</f>
        <v>Ikke relevant</v>
      </c>
      <c r="L54" s="253"/>
      <c r="M54" s="165"/>
      <c r="N54" s="250" t="s">
        <v>167</v>
      </c>
      <c r="O54" s="163"/>
      <c r="P54" s="79"/>
      <c r="Q54" s="77"/>
      <c r="R54" s="77"/>
      <c r="S54" s="77"/>
      <c r="T54" s="77"/>
      <c r="U54" s="77"/>
      <c r="V54" s="77"/>
      <c r="W54" s="77"/>
      <c r="X54" s="77"/>
      <c r="Y54" s="77"/>
      <c r="Z54" s="77"/>
    </row>
    <row r="55" spans="1:26" ht="127.5" hidden="1" customHeight="1" thickBot="1" x14ac:dyDescent="0.3">
      <c r="A55" s="76" t="s">
        <v>234</v>
      </c>
      <c r="B55" s="282" t="s">
        <v>86</v>
      </c>
      <c r="C55" s="79"/>
      <c r="E55" s="293" t="s">
        <v>120</v>
      </c>
      <c r="F55" s="304"/>
      <c r="G55" s="178" t="str">
        <f>VLOOKUP($A55&amp;G$1,Table_Answers[],2,FALSE)</f>
        <v>Ikke relevant</v>
      </c>
      <c r="H55" s="179" t="str">
        <f>VLOOKUP($A55&amp;H$1,Table_Answers[],2,FALSE)</f>
        <v>Ikke relevant</v>
      </c>
      <c r="I55" s="178" t="str">
        <f>VLOOKUP($A55&amp;I$1,Table_Answers[],2,FALSE)</f>
        <v>Ikke relevant</v>
      </c>
      <c r="J55" s="178" t="str">
        <f>VLOOKUP($A55&amp;J$1,Table_Answers[],2,FALSE)</f>
        <v>Ikke relevant</v>
      </c>
      <c r="K55" s="210" t="str">
        <f>VLOOKUP($A55&amp;K$1,Table_Answers[],2,FALSE)</f>
        <v>Ikke relevant</v>
      </c>
      <c r="L55" s="253"/>
      <c r="M55" s="165"/>
      <c r="N55" s="250" t="s">
        <v>167</v>
      </c>
      <c r="O55" s="163"/>
      <c r="P55" s="79"/>
      <c r="Q55" s="77"/>
      <c r="R55" s="77"/>
      <c r="S55" s="77"/>
      <c r="T55" s="77"/>
      <c r="U55" s="77"/>
      <c r="V55" s="77"/>
      <c r="W55" s="77"/>
      <c r="X55" s="77"/>
      <c r="Y55" s="77"/>
      <c r="Z55" s="77"/>
    </row>
    <row r="56" spans="1:26" ht="127.5" hidden="1" customHeight="1" thickBot="1" x14ac:dyDescent="0.3">
      <c r="A56" s="76" t="s">
        <v>235</v>
      </c>
      <c r="B56" s="282" t="s">
        <v>87</v>
      </c>
      <c r="C56" s="79"/>
      <c r="E56" s="293" t="s">
        <v>121</v>
      </c>
      <c r="F56" s="304"/>
      <c r="G56" s="178" t="str">
        <f>VLOOKUP($A56&amp;G$1,Table_Answers[],2,FALSE)</f>
        <v>Ikke relevant</v>
      </c>
      <c r="H56" s="179" t="str">
        <f>VLOOKUP($A56&amp;H$1,Table_Answers[],2,FALSE)</f>
        <v>Ikke relevant</v>
      </c>
      <c r="I56" s="178" t="str">
        <f>VLOOKUP($A56&amp;I$1,Table_Answers[],2,FALSE)</f>
        <v>Ikke relevant</v>
      </c>
      <c r="J56" s="178" t="str">
        <f>VLOOKUP($A56&amp;J$1,Table_Answers[],2,FALSE)</f>
        <v>Ikke relevant</v>
      </c>
      <c r="K56" s="210" t="str">
        <f>VLOOKUP($A56&amp;K$1,Table_Answers[],2,FALSE)</f>
        <v>Ikke relevant</v>
      </c>
      <c r="L56" s="253"/>
      <c r="M56" s="165"/>
      <c r="N56" s="250" t="s">
        <v>167</v>
      </c>
      <c r="O56" s="163"/>
      <c r="P56" s="79"/>
      <c r="Q56" s="77"/>
      <c r="R56" s="77"/>
      <c r="S56" s="77" t="str">
        <f>"✴ "&amp;"Med afsæt i din organisations vurdering af væsentligheden af de forskellige kvalitetsprincipper, hvordan vurderer du samlet set modenheden af "&amp;E41&amp;"?"</f>
        <v>✴ Med afsæt i din organisations vurdering af væsentligheden af de forskellige kvalitetsprincipper, hvordan vurderer du samlet set modenheden af Lederskab?</v>
      </c>
      <c r="T56" s="77"/>
      <c r="U56" s="77"/>
      <c r="V56" s="77"/>
      <c r="W56" s="77"/>
      <c r="X56" s="77"/>
      <c r="Y56" s="77"/>
      <c r="Z56" s="77"/>
    </row>
    <row r="57" spans="1:26" ht="17.45" hidden="1" customHeight="1" thickBot="1" x14ac:dyDescent="0.3">
      <c r="A57" s="76" t="s">
        <v>102</v>
      </c>
      <c r="B57" s="282"/>
      <c r="C57" s="79"/>
      <c r="E57" s="92"/>
      <c r="F57" s="48"/>
      <c r="G57" s="24"/>
      <c r="H57" s="24"/>
      <c r="I57" s="24"/>
      <c r="J57" s="24"/>
      <c r="K57" s="93"/>
      <c r="L57" s="93"/>
      <c r="M57" s="93"/>
      <c r="N57" s="93"/>
      <c r="O57" s="163"/>
      <c r="P57" s="79"/>
      <c r="Q57" s="77"/>
      <c r="R57" s="77"/>
      <c r="S57" s="77"/>
      <c r="T57" s="77"/>
      <c r="U57" s="77"/>
      <c r="V57" s="77"/>
      <c r="W57" s="77"/>
      <c r="X57" s="77"/>
      <c r="Y57" s="77"/>
      <c r="Z57" s="77"/>
    </row>
    <row r="58" spans="1:26" ht="81" customHeight="1" thickBot="1" x14ac:dyDescent="0.3">
      <c r="A58" s="76" t="s">
        <v>431</v>
      </c>
      <c r="B58" s="282" t="s">
        <v>426</v>
      </c>
      <c r="C58" s="79"/>
      <c r="E58" s="238"/>
      <c r="F58" s="308" t="str">
        <f>"Spg. 2.2: "&amp;"Med afsæt i din organisations vurdering af væsentligheden af de forskellige udsagn hvordan vurderer du samlet set modenheden af "&amp;E41&amp;"?"</f>
        <v>Spg. 2.2: Med afsæt i din organisations vurdering af væsentligheden af de forskellige udsagn hvordan vurderer du samlet set modenheden af Lederskab?</v>
      </c>
      <c r="G58" s="308"/>
      <c r="H58" s="308"/>
      <c r="I58" s="308"/>
      <c r="J58" s="308"/>
      <c r="K58" s="308"/>
      <c r="L58" s="93"/>
      <c r="M58" s="201" t="s">
        <v>167</v>
      </c>
      <c r="N58" s="250" t="s">
        <v>389</v>
      </c>
      <c r="O58" s="276">
        <f>IFERROR(IF(MATCH(M58,Table_Spørgeramme[Spørgeramme],0)-1&gt;0,2,0),0)</f>
        <v>0</v>
      </c>
      <c r="P58" s="79"/>
      <c r="Q58" s="77"/>
      <c r="R58" s="77"/>
      <c r="S58" s="318" t="s">
        <v>460</v>
      </c>
      <c r="T58" s="319"/>
      <c r="U58" s="319"/>
      <c r="V58" s="319"/>
      <c r="W58" s="319"/>
      <c r="X58" s="320"/>
      <c r="Y58" s="77"/>
      <c r="Z58" s="77"/>
    </row>
    <row r="59" spans="1:26" ht="54.75" customHeight="1" thickBot="1" x14ac:dyDescent="0.3">
      <c r="A59" s="76" t="s">
        <v>432</v>
      </c>
      <c r="B59" s="282" t="s">
        <v>427</v>
      </c>
      <c r="C59" s="79"/>
      <c r="L59" s="271"/>
      <c r="M59" s="201" t="s">
        <v>7</v>
      </c>
      <c r="N59" s="272" t="s">
        <v>391</v>
      </c>
      <c r="O59" s="163"/>
      <c r="P59" s="79"/>
      <c r="Q59" s="77"/>
      <c r="R59" s="77"/>
      <c r="S59" s="321"/>
      <c r="T59" s="322"/>
      <c r="U59" s="322"/>
      <c r="V59" s="322"/>
      <c r="W59" s="322"/>
      <c r="X59" s="323"/>
      <c r="Y59" s="77"/>
      <c r="Z59" s="77"/>
    </row>
    <row r="60" spans="1:26" ht="17.45" customHeight="1" x14ac:dyDescent="0.25">
      <c r="A60" s="76" t="s">
        <v>102</v>
      </c>
      <c r="B60" s="282"/>
      <c r="C60" s="79"/>
      <c r="D60" s="79"/>
      <c r="E60" s="79"/>
      <c r="F60" s="79"/>
      <c r="G60" s="79"/>
      <c r="H60" s="79"/>
      <c r="I60" s="79"/>
      <c r="J60" s="79"/>
      <c r="K60" s="79"/>
      <c r="L60" s="79"/>
      <c r="M60" s="79"/>
      <c r="N60" s="79"/>
      <c r="O60" s="278"/>
      <c r="P60" s="79"/>
      <c r="Q60" s="77"/>
      <c r="R60" s="77"/>
      <c r="S60" s="77"/>
      <c r="T60" s="77"/>
      <c r="U60" s="77"/>
      <c r="V60" s="77"/>
      <c r="W60" s="77"/>
      <c r="X60" s="77"/>
      <c r="Y60" s="77"/>
      <c r="Z60" s="77"/>
    </row>
    <row r="61" spans="1:26" ht="21" customHeight="1" x14ac:dyDescent="0.25">
      <c r="A61" s="76" t="s">
        <v>433</v>
      </c>
      <c r="B61" s="282"/>
      <c r="C61" s="79"/>
      <c r="D61" s="73" t="str">
        <f>COUNTA($D$2:$D60)&amp;"."</f>
        <v>3.</v>
      </c>
      <c r="E61" s="74" t="str">
        <f>VLOOKUP(D61,Table_Questions[#All],2,FALSE)</f>
        <v>Planlægning</v>
      </c>
      <c r="F61" s="83"/>
      <c r="G61" s="74" t="s">
        <v>368</v>
      </c>
      <c r="H61" s="83"/>
      <c r="I61" s="83"/>
      <c r="J61" s="83"/>
      <c r="K61" s="83"/>
      <c r="L61" s="83"/>
      <c r="M61" s="83"/>
      <c r="N61" s="83"/>
      <c r="O61" s="280"/>
      <c r="P61" s="79"/>
      <c r="Q61" s="77"/>
      <c r="R61" s="77"/>
      <c r="S61" s="77"/>
      <c r="T61" s="77"/>
      <c r="U61" s="77"/>
      <c r="V61" s="77"/>
      <c r="W61" s="77"/>
      <c r="X61" s="77"/>
      <c r="Y61" s="77"/>
      <c r="Z61" s="77"/>
    </row>
    <row r="62" spans="1:26" ht="33" customHeight="1" x14ac:dyDescent="0.3">
      <c r="A62" s="76" t="s">
        <v>433</v>
      </c>
      <c r="B62" s="282"/>
      <c r="C62" s="79"/>
      <c r="E62" s="306" t="s">
        <v>205</v>
      </c>
      <c r="F62" s="306"/>
      <c r="G62" s="306"/>
      <c r="H62" s="306"/>
      <c r="I62" s="306"/>
      <c r="J62" s="306"/>
      <c r="K62" s="306"/>
      <c r="P62" s="79"/>
      <c r="Q62" s="77"/>
      <c r="R62" s="77"/>
      <c r="S62" s="77"/>
      <c r="T62" s="77"/>
      <c r="U62" s="77"/>
      <c r="V62" s="77"/>
      <c r="W62" s="77"/>
      <c r="X62" s="77"/>
      <c r="Y62" s="77"/>
      <c r="Z62" s="77"/>
    </row>
    <row r="63" spans="1:26" ht="18.600000000000001" customHeight="1" x14ac:dyDescent="0.25">
      <c r="A63" s="76" t="s">
        <v>433</v>
      </c>
      <c r="B63" s="282"/>
      <c r="C63" s="79"/>
      <c r="E63" s="295" t="str">
        <f>VLOOKUP(D61,Table_Questions[],3,FALSE)</f>
        <v xml:space="preserve">For at styre informationssikkerheden og for at sikre, at ledelsen har de rette styringsværktøjer, skal aktiviteterne i ISMS'et planlægges. Nogle aktiviteter skal gentages, mens andre er enkeltstående, eksempelvis ifm. forbedringer. Organisationens modenhed kan eksempelvis vurderes ud fra følgende elementer:
• Aktiviteter, der understøtter ISMS’et, planlægges, eksempelvis gennem aktivitetsoversigter, årsplaner e.l.  
• Der er en klar organisering, procesbeskrivelse og værktøjer, eksempelvis et system eller skabeloner, til at understøtte jeres risikostyring.
• Når organisationen vurderer risici, anvendes der en konsistent metode til at identificere risici, herunder konsekvenser ved, og sandsynlighed for, at givne risici faktisk sker.
• Proces for risikostyring sikrer, at identificerede risici enten accepteres, eller håndteres (mitigeres, undgås eller deles), eksempelvis gennem en ledelsesgodkendt risikohåndteringsplan. Planerne kan tage udgangspunkt i ISO 27001, Anneks A. I tilfælde af at en plan besluttes, følges der op på den.
• SOA dokumentet opdateres årligt med til- og fravalg af foranstaltninger. 
Hent mere vejledning under ”Årshjul og planlægning” og "Risikostyring" på sikkerdigital.dk.
</v>
      </c>
      <c r="F63" s="295"/>
      <c r="G63" s="295"/>
      <c r="H63" s="295"/>
      <c r="I63" s="295"/>
      <c r="J63" s="295"/>
      <c r="K63" s="295"/>
      <c r="L63" s="168"/>
      <c r="M63" s="139"/>
      <c r="N63" s="138"/>
      <c r="P63" s="79"/>
      <c r="Q63" s="77"/>
      <c r="R63" s="77"/>
      <c r="S63" s="77"/>
      <c r="T63" s="77"/>
      <c r="U63" s="77"/>
      <c r="V63" s="77"/>
      <c r="W63" s="77"/>
      <c r="X63" s="77"/>
      <c r="Y63" s="77"/>
      <c r="Z63" s="77"/>
    </row>
    <row r="64" spans="1:26" ht="18" customHeight="1" x14ac:dyDescent="0.25">
      <c r="A64" s="76" t="s">
        <v>433</v>
      </c>
      <c r="B64" s="282"/>
      <c r="C64" s="79"/>
      <c r="E64" s="296"/>
      <c r="F64" s="296"/>
      <c r="G64" s="296"/>
      <c r="H64" s="296"/>
      <c r="I64" s="296"/>
      <c r="J64" s="296"/>
      <c r="K64" s="296"/>
      <c r="L64" s="168"/>
      <c r="M64" s="139"/>
      <c r="N64" s="138"/>
      <c r="P64" s="79"/>
      <c r="Q64" s="77"/>
      <c r="R64" s="77"/>
      <c r="S64" s="77"/>
      <c r="T64" s="77"/>
      <c r="U64" s="77"/>
      <c r="V64" s="77"/>
      <c r="W64" s="77"/>
      <c r="X64" s="77"/>
      <c r="Y64" s="77"/>
      <c r="Z64" s="77"/>
    </row>
    <row r="65" spans="1:26" ht="16.899999999999999" customHeight="1" x14ac:dyDescent="0.25">
      <c r="A65" s="76" t="s">
        <v>433</v>
      </c>
      <c r="B65" s="282"/>
      <c r="C65" s="79"/>
      <c r="E65" s="296"/>
      <c r="F65" s="296"/>
      <c r="G65" s="296"/>
      <c r="H65" s="296"/>
      <c r="I65" s="296"/>
      <c r="J65" s="296"/>
      <c r="K65" s="296"/>
      <c r="L65" s="168"/>
      <c r="M65" s="139"/>
      <c r="N65" s="138"/>
      <c r="O65" s="163"/>
      <c r="P65" s="79"/>
      <c r="Q65" s="77"/>
      <c r="R65" s="77"/>
      <c r="S65" s="77"/>
      <c r="T65" s="77"/>
      <c r="U65" s="77"/>
      <c r="V65" s="77"/>
      <c r="W65" s="77"/>
      <c r="X65" s="77"/>
      <c r="Y65" s="77"/>
      <c r="Z65" s="77"/>
    </row>
    <row r="66" spans="1:26" ht="158.25" customHeight="1" x14ac:dyDescent="0.25">
      <c r="A66" s="76" t="s">
        <v>433</v>
      </c>
      <c r="B66" s="282"/>
      <c r="C66" s="79"/>
      <c r="E66" s="297"/>
      <c r="F66" s="297"/>
      <c r="G66" s="297"/>
      <c r="H66" s="297"/>
      <c r="I66" s="297"/>
      <c r="J66" s="297"/>
      <c r="K66" s="297"/>
      <c r="L66" s="168"/>
      <c r="M66" s="139"/>
      <c r="N66" s="138"/>
      <c r="O66" s="163"/>
      <c r="P66" s="79"/>
      <c r="Q66" s="77"/>
      <c r="R66" s="77"/>
      <c r="S66" s="77"/>
      <c r="T66" s="77"/>
      <c r="U66" s="77"/>
      <c r="V66" s="77"/>
      <c r="W66" s="77"/>
      <c r="X66" s="77"/>
      <c r="Y66" s="77"/>
      <c r="Z66" s="77"/>
    </row>
    <row r="67" spans="1:26" ht="32.25" customHeight="1" x14ac:dyDescent="0.35">
      <c r="A67" s="76" t="s">
        <v>433</v>
      </c>
      <c r="B67" s="282"/>
      <c r="C67" s="79"/>
      <c r="E67" s="200" t="str">
        <f>"Spg. 3.1: "&amp;VLOOKUP(D61,Table_Questions[#All],4,FALSE)</f>
        <v>Spg. 3.1: Hvordan vurderer du organisationens modenhed i forhold til nedenstående udsagn?</v>
      </c>
      <c r="F67" s="89"/>
      <c r="K67" s="24"/>
      <c r="L67" s="24"/>
      <c r="M67" s="24"/>
      <c r="N67" s="24"/>
      <c r="O67" s="163"/>
      <c r="P67" s="79"/>
      <c r="Q67" s="77"/>
      <c r="R67" s="77"/>
      <c r="S67" s="77"/>
      <c r="T67" s="77"/>
      <c r="U67" s="77"/>
      <c r="V67" s="77"/>
      <c r="W67" s="77"/>
      <c r="X67" s="77"/>
      <c r="Y67" s="77"/>
      <c r="Z67" s="77"/>
    </row>
    <row r="68" spans="1:26" ht="14.45" customHeight="1" x14ac:dyDescent="0.25">
      <c r="A68" s="76" t="s">
        <v>433</v>
      </c>
      <c r="B68" s="282"/>
      <c r="C68" s="79"/>
      <c r="O68" s="163"/>
      <c r="P68" s="79"/>
      <c r="Q68" s="77"/>
      <c r="R68" s="77"/>
      <c r="S68" s="77"/>
      <c r="T68" s="77"/>
      <c r="U68" s="77"/>
      <c r="V68" s="77"/>
      <c r="W68" s="77"/>
      <c r="X68" s="77"/>
      <c r="Y68" s="77"/>
      <c r="Z68" s="77"/>
    </row>
    <row r="69" spans="1:26" ht="16.149999999999999" customHeight="1" x14ac:dyDescent="0.35">
      <c r="A69" s="76" t="s">
        <v>433</v>
      </c>
      <c r="B69" s="282"/>
      <c r="C69" s="79"/>
      <c r="E69" s="195" t="str">
        <f>S_Lookupsheet!$BC$2</f>
        <v>Vælg dit svar til højre for matricen</v>
      </c>
      <c r="O69" s="163"/>
      <c r="P69" s="79"/>
      <c r="Q69" s="77"/>
      <c r="R69" s="77"/>
      <c r="S69" s="77"/>
      <c r="T69" s="77"/>
      <c r="U69" s="77"/>
      <c r="V69" s="77"/>
      <c r="W69" s="77"/>
      <c r="X69" s="77"/>
      <c r="Y69" s="77"/>
      <c r="Z69" s="77"/>
    </row>
    <row r="70" spans="1:26" ht="23.45" customHeight="1" thickBot="1" x14ac:dyDescent="0.3">
      <c r="A70" s="76" t="s">
        <v>433</v>
      </c>
      <c r="B70" s="282"/>
      <c r="C70" s="79"/>
      <c r="G70" s="90" t="s">
        <v>4</v>
      </c>
      <c r="H70" s="90" t="s">
        <v>5</v>
      </c>
      <c r="I70" s="90" t="s">
        <v>6</v>
      </c>
      <c r="J70" s="90" t="s">
        <v>7</v>
      </c>
      <c r="K70" s="90" t="s">
        <v>14</v>
      </c>
      <c r="L70" s="90"/>
      <c r="M70" s="90" t="s">
        <v>168</v>
      </c>
      <c r="N70" s="90" t="s">
        <v>388</v>
      </c>
      <c r="P70" s="79"/>
      <c r="Q70" s="77"/>
      <c r="R70" s="77"/>
      <c r="S70" s="77"/>
      <c r="T70" s="77"/>
      <c r="U70" s="77"/>
      <c r="V70" s="77"/>
      <c r="W70" s="77"/>
      <c r="X70" s="77"/>
      <c r="Y70" s="77"/>
      <c r="Z70" s="77"/>
    </row>
    <row r="71" spans="1:26" ht="164.25" customHeight="1" thickBot="1" x14ac:dyDescent="0.3">
      <c r="A71" s="76" t="s">
        <v>236</v>
      </c>
      <c r="B71" s="282" t="s">
        <v>76</v>
      </c>
      <c r="C71" s="79"/>
      <c r="D71" s="91"/>
      <c r="E71" s="288" t="s">
        <v>457</v>
      </c>
      <c r="F71" s="303"/>
      <c r="G71" s="178" t="str">
        <f>VLOOKUP($A71&amp;G$1,Table_Answers[],2,FALSE)</f>
        <v>Ad hoc</v>
      </c>
      <c r="H71" s="178" t="str">
        <f>VLOOKUP($A71&amp;H$1,Table_Answers[],2,FALSE)</f>
        <v>Gentaget</v>
      </c>
      <c r="I71" s="181" t="str">
        <f>VLOOKUP($A71&amp;I$1,Table_Answers[],2,FALSE)</f>
        <v>Procesunderstøttet</v>
      </c>
      <c r="J71" s="178" t="str">
        <f>VLOOKUP($A71&amp;J$1,Table_Answers[],2,FALSE)</f>
        <v>Styret og målbar</v>
      </c>
      <c r="K71" s="180" t="str">
        <f>VLOOKUP($A71&amp;K$1,Table_Answers[],2,FALSE)</f>
        <v>Optimeret</v>
      </c>
      <c r="L71" s="257"/>
      <c r="M71" s="165" t="s">
        <v>167</v>
      </c>
      <c r="N71" s="250" t="s">
        <v>389</v>
      </c>
      <c r="O71" s="163">
        <f>IF(K71="Ikke relevant",5,IF(_xlfn.IFNA(VLOOKUP(A71,MasterTable[[Spørgsmål]:[Aktuelt niveau - kvalitetsstyringsprincip]],3,FALSE),0)&gt;0,1,0))</f>
        <v>0</v>
      </c>
      <c r="P71" s="79"/>
      <c r="Q71" s="77"/>
      <c r="R71" s="77"/>
      <c r="S71" s="77"/>
      <c r="T71" s="77"/>
      <c r="U71" s="77"/>
      <c r="V71" s="77"/>
      <c r="W71" s="77"/>
      <c r="X71" s="77"/>
      <c r="Y71" s="77"/>
      <c r="Z71" s="77"/>
    </row>
    <row r="72" spans="1:26" ht="296.25" customHeight="1" thickBot="1" x14ac:dyDescent="0.3">
      <c r="A72" s="76" t="s">
        <v>237</v>
      </c>
      <c r="B72" s="282" t="s">
        <v>77</v>
      </c>
      <c r="C72" s="79"/>
      <c r="E72" s="288" t="s">
        <v>461</v>
      </c>
      <c r="F72" s="303"/>
      <c r="G72" s="178" t="str">
        <f>VLOOKUP($A72&amp;G$1,Table_Answers[],2,FALSE)</f>
        <v>Ad hoc</v>
      </c>
      <c r="H72" s="178" t="str">
        <f>VLOOKUP($A72&amp;H$1,Table_Answers[],2,FALSE)</f>
        <v>Gentaget</v>
      </c>
      <c r="I72" s="181" t="str">
        <f>VLOOKUP($A72&amp;I$1,Table_Answers[],2,FALSE)</f>
        <v>Procesunderstøttet</v>
      </c>
      <c r="J72" s="178" t="str">
        <f>VLOOKUP($A72&amp;J$1,Table_Answers[],2,FALSE)</f>
        <v>Styret og målbar</v>
      </c>
      <c r="K72" s="180" t="str">
        <f>VLOOKUP($A72&amp;K$1,Table_Answers[],2,FALSE)</f>
        <v>Optimeret</v>
      </c>
      <c r="L72" s="257"/>
      <c r="M72" s="165" t="s">
        <v>167</v>
      </c>
      <c r="N72" s="250" t="s">
        <v>389</v>
      </c>
      <c r="O72" s="163">
        <f>IF(K72="Ikke relevant",5,IF(_xlfn.IFNA(VLOOKUP(A72,MasterTable[[Spørgsmål]:[Aktuelt niveau - kvalitetsstyringsprincip]],3,FALSE),0)&gt;0,1,0))</f>
        <v>0</v>
      </c>
      <c r="P72" s="79"/>
      <c r="Q72" s="77"/>
      <c r="R72" s="77"/>
      <c r="S72" s="77"/>
      <c r="T72" s="77"/>
      <c r="U72" s="77"/>
      <c r="V72" s="77"/>
      <c r="W72" s="77"/>
      <c r="X72" s="77"/>
      <c r="Y72" s="77"/>
      <c r="Z72" s="77"/>
    </row>
    <row r="73" spans="1:26" ht="360" customHeight="1" thickBot="1" x14ac:dyDescent="0.3">
      <c r="A73" s="76" t="s">
        <v>238</v>
      </c>
      <c r="B73" s="282" t="s">
        <v>78</v>
      </c>
      <c r="C73" s="79"/>
      <c r="E73" s="288" t="s">
        <v>470</v>
      </c>
      <c r="F73" s="303"/>
      <c r="G73" s="178" t="str">
        <f>VLOOKUP($A73&amp;G$1,Table_Answers[],2,FALSE)</f>
        <v>Ad hoc</v>
      </c>
      <c r="H73" s="178" t="str">
        <f>VLOOKUP($A73&amp;H$1,Table_Answers[],2,FALSE)</f>
        <v>Gentaget</v>
      </c>
      <c r="I73" s="182" t="str">
        <f>VLOOKUP($A73&amp;I$1,Table_Answers[],2,FALSE)</f>
        <v>Procesunderstøttet</v>
      </c>
      <c r="J73" s="178" t="str">
        <f>VLOOKUP($A73&amp;J$1,Table_Answers[],2,FALSE)</f>
        <v>Styret og målbar</v>
      </c>
      <c r="K73" s="180" t="str">
        <f>VLOOKUP($A73&amp;K$1,Table_Answers[],2,FALSE)</f>
        <v>Optimeret</v>
      </c>
      <c r="L73" s="257"/>
      <c r="M73" s="165" t="s">
        <v>167</v>
      </c>
      <c r="N73" s="250" t="s">
        <v>389</v>
      </c>
      <c r="O73" s="163">
        <f>IF(K73="Ikke relevant",5,IF(_xlfn.IFNA(VLOOKUP(A73,MasterTable[[Spørgsmål]:[Aktuelt niveau - kvalitetsstyringsprincip]],3,FALSE),0)&gt;0,1,0))</f>
        <v>0</v>
      </c>
      <c r="P73" s="79"/>
      <c r="Q73" s="77"/>
      <c r="R73" s="77"/>
      <c r="S73" s="77"/>
      <c r="T73" s="77"/>
      <c r="U73" s="77"/>
      <c r="V73" s="77"/>
      <c r="W73" s="77"/>
      <c r="X73" s="77"/>
      <c r="Y73" s="77"/>
      <c r="Z73" s="77"/>
    </row>
    <row r="74" spans="1:26" ht="279.75" hidden="1" customHeight="1" thickBot="1" x14ac:dyDescent="0.3">
      <c r="A74" s="76" t="s">
        <v>239</v>
      </c>
      <c r="B74" s="282" t="s">
        <v>85</v>
      </c>
      <c r="C74" s="79"/>
      <c r="D74" s="166"/>
      <c r="E74" s="288" t="s">
        <v>458</v>
      </c>
      <c r="F74" s="288"/>
      <c r="G74" s="178" t="str">
        <f>VLOOKUP($A74&amp;G$1,Table_Answers[],2,FALSE)</f>
        <v>Ikke relevant</v>
      </c>
      <c r="H74" s="178" t="str">
        <f>VLOOKUP($A74&amp;H$1,Table_Answers[],2,FALSE)</f>
        <v>Ikke relevant</v>
      </c>
      <c r="I74" s="178" t="str">
        <f>VLOOKUP($A74&amp;I$1,Table_Answers[],2,FALSE)</f>
        <v>Ikke relevant</v>
      </c>
      <c r="J74" s="179" t="str">
        <f>VLOOKUP($A74&amp;J$1,Table_Answers[],2,FALSE)</f>
        <v>Ikke relevant</v>
      </c>
      <c r="K74" s="180" t="str">
        <f>VLOOKUP($A74&amp;K$1,Table_Answers[],2,FALSE)</f>
        <v>Ikke relevant</v>
      </c>
      <c r="L74" s="258"/>
      <c r="M74" s="165" t="s">
        <v>167</v>
      </c>
      <c r="N74" s="250" t="s">
        <v>389</v>
      </c>
      <c r="O74" s="163">
        <f>IF(K74="Ikke relevant",5,IF(_xlfn.IFNA(VLOOKUP(A74,MasterTable[[Spørgsmål]:[Aktuelt niveau - kvalitetsstyringsprincip]],3,FALSE),0)&gt;0,1,0))</f>
        <v>5</v>
      </c>
      <c r="P74" s="79"/>
      <c r="Q74" s="77"/>
      <c r="R74" s="77"/>
      <c r="S74" s="77"/>
      <c r="T74" s="77"/>
      <c r="U74" s="77"/>
      <c r="V74" s="77"/>
      <c r="W74" s="77"/>
      <c r="X74" s="77"/>
      <c r="Y74" s="77"/>
      <c r="Z74" s="77"/>
    </row>
    <row r="75" spans="1:26" ht="164.25" customHeight="1" thickBot="1" x14ac:dyDescent="0.3">
      <c r="A75" s="76" t="s">
        <v>240</v>
      </c>
      <c r="B75" s="282" t="s">
        <v>86</v>
      </c>
      <c r="C75" s="79"/>
      <c r="D75" s="166"/>
      <c r="E75" s="288" t="s">
        <v>463</v>
      </c>
      <c r="F75" s="288"/>
      <c r="G75" s="178" t="str">
        <f>VLOOKUP($A75&amp;G$1,Table_Answers[],2,FALSE)</f>
        <v>Ad hoc</v>
      </c>
      <c r="H75" s="178" t="str">
        <f>VLOOKUP($A75&amp;H$1,Table_Answers[],2,FALSE)</f>
        <v>Gentaget</v>
      </c>
      <c r="I75" s="178" t="str">
        <f>VLOOKUP($A75&amp;I$1,Table_Answers[],2,FALSE)</f>
        <v>Procesunderstøttet</v>
      </c>
      <c r="J75" s="179" t="str">
        <f>VLOOKUP($A75&amp;J$1,Table_Answers[],2,FALSE)</f>
        <v>Styret og målbar</v>
      </c>
      <c r="K75" s="180" t="str">
        <f>VLOOKUP($A75&amp;K$1,Table_Answers[],2,FALSE)</f>
        <v>Optimeret</v>
      </c>
      <c r="L75" s="256"/>
      <c r="M75" s="165" t="s">
        <v>167</v>
      </c>
      <c r="N75" s="250" t="s">
        <v>389</v>
      </c>
      <c r="O75" s="163">
        <f>IF(K75="Ikke relevant",5,IF(_xlfn.IFNA(VLOOKUP(A75,MasterTable[[Spørgsmål]:[Aktuelt niveau - kvalitetsstyringsprincip]],3,FALSE),0)&gt;0,1,0))</f>
        <v>0</v>
      </c>
      <c r="P75" s="79"/>
      <c r="Q75" s="77"/>
      <c r="R75" s="77"/>
      <c r="S75" s="77"/>
      <c r="T75" s="77"/>
      <c r="U75" s="77"/>
      <c r="V75" s="77"/>
      <c r="W75" s="77"/>
      <c r="X75" s="77"/>
      <c r="Y75" s="77"/>
      <c r="Z75" s="77"/>
    </row>
    <row r="76" spans="1:26" ht="23.25" hidden="1" customHeight="1" thickBot="1" x14ac:dyDescent="0.3">
      <c r="A76" s="76" t="s">
        <v>241</v>
      </c>
      <c r="B76" s="282" t="s">
        <v>87</v>
      </c>
      <c r="C76" s="79"/>
      <c r="E76" s="293" t="s">
        <v>410</v>
      </c>
      <c r="F76" s="304"/>
      <c r="G76" s="196" t="str">
        <f>VLOOKUP($A76&amp;G$1,Table_Answers[],2,FALSE)</f>
        <v>Ikke relevant</v>
      </c>
      <c r="H76" s="196" t="str">
        <f>VLOOKUP($A76&amp;H$1,Table_Answers[],2,FALSE)</f>
        <v>Ikke relevant</v>
      </c>
      <c r="I76" s="188" t="str">
        <f>VLOOKUP($A76&amp;I$1,Table_Answers[],2,FALSE)</f>
        <v>Ikke relevant</v>
      </c>
      <c r="J76" s="196" t="str">
        <f>VLOOKUP($A76&amp;J$1,Table_Answers[],2,FALSE)</f>
        <v>Ikke relevant</v>
      </c>
      <c r="K76" s="197" t="str">
        <f>VLOOKUP($A76&amp;K$1,Table_Answers[],2,FALSE)</f>
        <v>Ikke relevant</v>
      </c>
      <c r="L76" s="257"/>
      <c r="M76" s="165" t="s">
        <v>167</v>
      </c>
      <c r="N76" s="250" t="s">
        <v>389</v>
      </c>
      <c r="O76" s="163">
        <f>IF(K76="Ikke relevant",5,IF(_xlfn.IFNA(VLOOKUP(A76,MasterTable[[Spørgsmål]:[Aktuelt niveau - kvalitetsstyringsprincip]],3,FALSE),0)&gt;0,1,0))</f>
        <v>5</v>
      </c>
      <c r="P76" s="79"/>
      <c r="Q76" s="77"/>
      <c r="R76" s="77"/>
      <c r="S76" s="77"/>
      <c r="T76" s="77"/>
      <c r="U76" s="77"/>
      <c r="V76" s="77"/>
      <c r="W76" s="77"/>
      <c r="X76" s="77"/>
      <c r="Y76" s="77"/>
      <c r="Z76" s="77"/>
    </row>
    <row r="77" spans="1:26" ht="16.5" thickBot="1" x14ac:dyDescent="0.3">
      <c r="A77" s="76" t="s">
        <v>433</v>
      </c>
      <c r="B77" s="282"/>
      <c r="C77" s="79"/>
      <c r="E77" s="92"/>
      <c r="F77" s="48"/>
      <c r="G77" s="24"/>
      <c r="H77" s="24"/>
      <c r="I77" s="24"/>
      <c r="J77" s="24"/>
      <c r="K77" s="93" t="str">
        <f>N78</f>
        <v xml:space="preserve">Indsæt evt. interne bemærkninger som begrundelser for vurderingen. </v>
      </c>
      <c r="L77" s="93"/>
      <c r="M77" s="93"/>
      <c r="N77" s="93"/>
      <c r="O77" s="163"/>
      <c r="P77" s="79"/>
      <c r="Q77" s="77"/>
      <c r="R77" s="77"/>
      <c r="S77" s="77"/>
      <c r="T77" s="77"/>
      <c r="U77" s="77"/>
      <c r="V77" s="77"/>
      <c r="W77" s="77"/>
      <c r="X77" s="77"/>
      <c r="Y77" s="77"/>
      <c r="Z77" s="77"/>
    </row>
    <row r="78" spans="1:26" ht="79.5" customHeight="1" thickBot="1" x14ac:dyDescent="0.3">
      <c r="A78" s="76" t="s">
        <v>434</v>
      </c>
      <c r="B78" s="282" t="s">
        <v>426</v>
      </c>
      <c r="C78" s="79"/>
      <c r="E78" s="238"/>
      <c r="F78" s="298" t="str">
        <f>"Spg. 3.2: "&amp;"Med afsæt i din organisations vurdering af væsentligheden af de forskellige udsagn, hvordan vurderer du samlet set modenheden af "&amp;E61&amp;"?"</f>
        <v>Spg. 3.2: Med afsæt i din organisations vurdering af væsentligheden af de forskellige udsagn, hvordan vurderer du samlet set modenheden af Planlægning?</v>
      </c>
      <c r="G78" s="298"/>
      <c r="H78" s="298"/>
      <c r="I78" s="298"/>
      <c r="J78" s="298"/>
      <c r="K78" s="298"/>
      <c r="L78" s="93"/>
      <c r="M78" s="201" t="s">
        <v>167</v>
      </c>
      <c r="N78" s="250" t="s">
        <v>389</v>
      </c>
      <c r="O78" s="276">
        <f>IFERROR(IF(MATCH(M78,Table_Spørgeramme[Spørgeramme],0)-1&gt;0,2,0),0)</f>
        <v>0</v>
      </c>
      <c r="P78" s="79"/>
      <c r="Q78" s="77"/>
      <c r="R78" s="77"/>
      <c r="S78" s="318" t="s">
        <v>460</v>
      </c>
      <c r="T78" s="319"/>
      <c r="U78" s="319"/>
      <c r="V78" s="319"/>
      <c r="W78" s="319"/>
      <c r="X78" s="320"/>
      <c r="Y78" s="77"/>
      <c r="Z78" s="77"/>
    </row>
    <row r="79" spans="1:26" ht="58.5" customHeight="1" thickBot="1" x14ac:dyDescent="0.3">
      <c r="A79" s="76" t="s">
        <v>435</v>
      </c>
      <c r="B79" s="282" t="s">
        <v>427</v>
      </c>
      <c r="C79" s="79"/>
      <c r="L79" s="271"/>
      <c r="M79" s="201" t="s">
        <v>7</v>
      </c>
      <c r="N79" s="272" t="s">
        <v>391</v>
      </c>
      <c r="O79" s="163"/>
      <c r="P79" s="79"/>
      <c r="Q79" s="77"/>
      <c r="R79" s="77"/>
      <c r="S79" s="321"/>
      <c r="T79" s="322"/>
      <c r="U79" s="322"/>
      <c r="V79" s="322"/>
      <c r="W79" s="322"/>
      <c r="X79" s="323"/>
      <c r="Y79" s="77"/>
      <c r="Z79" s="77"/>
    </row>
    <row r="80" spans="1:26" ht="17.45" customHeight="1" x14ac:dyDescent="0.25">
      <c r="A80" s="76" t="s">
        <v>433</v>
      </c>
      <c r="B80" s="282"/>
      <c r="C80" s="79"/>
      <c r="D80" s="79"/>
      <c r="E80" s="79"/>
      <c r="F80" s="79"/>
      <c r="G80" s="79"/>
      <c r="H80" s="79"/>
      <c r="I80" s="79"/>
      <c r="J80" s="79"/>
      <c r="K80" s="79"/>
      <c r="L80" s="79"/>
      <c r="M80" s="79"/>
      <c r="N80" s="79"/>
      <c r="O80" s="278"/>
      <c r="P80" s="79"/>
      <c r="Q80" s="77"/>
      <c r="R80" s="77"/>
      <c r="S80" s="77"/>
      <c r="T80" s="77"/>
      <c r="U80" s="77"/>
      <c r="V80" s="77"/>
      <c r="W80" s="77"/>
      <c r="X80" s="77"/>
      <c r="Y80" s="77"/>
      <c r="Z80" s="77"/>
    </row>
    <row r="81" spans="1:26" ht="21" customHeight="1" x14ac:dyDescent="0.25">
      <c r="A81" s="76" t="s">
        <v>436</v>
      </c>
      <c r="B81" s="282"/>
      <c r="C81" s="79"/>
      <c r="D81" s="73" t="str">
        <f>COUNTA($D$2:$D80)&amp;"."</f>
        <v>4.</v>
      </c>
      <c r="E81" s="74" t="str">
        <f>VLOOKUP(D81,Table_Questions[#All],2,FALSE)</f>
        <v>Support</v>
      </c>
      <c r="F81" s="83"/>
      <c r="G81" s="74" t="s">
        <v>369</v>
      </c>
      <c r="H81" s="83"/>
      <c r="I81" s="83"/>
      <c r="J81" s="83"/>
      <c r="K81" s="83"/>
      <c r="L81" s="83"/>
      <c r="M81" s="83"/>
      <c r="N81" s="83"/>
      <c r="O81" s="280"/>
      <c r="P81" s="79"/>
      <c r="Q81" s="77"/>
      <c r="R81" s="77"/>
      <c r="S81" s="77"/>
      <c r="T81" s="77"/>
      <c r="U81" s="77"/>
      <c r="V81" s="77"/>
      <c r="W81" s="77"/>
      <c r="X81" s="77"/>
      <c r="Y81" s="77"/>
      <c r="Z81" s="77"/>
    </row>
    <row r="82" spans="1:26" ht="26.45" customHeight="1" x14ac:dyDescent="0.3">
      <c r="A82" s="76" t="s">
        <v>436</v>
      </c>
      <c r="B82" s="282"/>
      <c r="C82" s="79"/>
      <c r="E82" s="306" t="s">
        <v>205</v>
      </c>
      <c r="F82" s="306"/>
      <c r="G82" s="306"/>
      <c r="H82" s="306"/>
      <c r="I82" s="306"/>
      <c r="J82" s="306"/>
      <c r="K82" s="306"/>
      <c r="P82" s="79"/>
      <c r="Q82" s="77"/>
      <c r="R82" s="77"/>
      <c r="S82" s="77"/>
      <c r="T82" s="77"/>
      <c r="U82" s="77"/>
      <c r="V82" s="77"/>
      <c r="W82" s="77"/>
      <c r="X82" s="77"/>
      <c r="Y82" s="77"/>
      <c r="Z82" s="77"/>
    </row>
    <row r="83" spans="1:26" ht="18.600000000000001" customHeight="1" x14ac:dyDescent="0.25">
      <c r="A83" s="76" t="s">
        <v>436</v>
      </c>
      <c r="B83" s="282"/>
      <c r="C83" s="79"/>
      <c r="E83" s="295" t="str">
        <f>VLOOKUP(D81,Table_Questions[],3,FALSE)</f>
        <v>Et velfungerende ISMS kræver en række understøttende supportelementer, såsom ressourcer, viden og dokumentation. Organisationens modenhed kan eksempelvis vurderes ud fra følgende elementer:  
• Der er afsat tilstrækkelige ressourcer til at gennemføre planer og aktiviteter i relation til ISMS’et. Dette inkluderer både årsværk og budget. 
• Der arbejdes systematisk med kompetenceopbygning af medarbejdere, eksempelvis gennem uddannelse på introforløb eller interne kompetenceforløb for enten medarbejdere eller ledere.
• Kompetenceudviklingen dokumenteres, eksempelvis via individuelle eller organisatoriske kompetenceudviklingsplaner eller via organisationens kursus- og uddannelsesoversigter. 
• Der eksisterer en awareness plan for organisationen, eksempelvis indeholdende phishingkampagner, adfærdsoplæg e.l.
• Organisationen har al den nødvendige dokumentation, som ISO 27001 kræver, og som skal understøtte de tilvalgte foranstaltninger i anneks A. Se evt. listen over obligatorisk dokumentation i ISO 27001 under ”Dokumentation” på sikkerdigital.dk. 
• Organisationens dokumentationsproces er beskrevet, herunder hvordan ændringer håndteres, dokumenter opbevares og adgangsbegrænses mm.
Hent mere vejledning under ”Virkemidler” på sikkerdigital.dk</v>
      </c>
      <c r="F83" s="295"/>
      <c r="G83" s="295"/>
      <c r="H83" s="295"/>
      <c r="I83" s="295"/>
      <c r="J83" s="295"/>
      <c r="K83" s="295"/>
      <c r="L83" s="168"/>
      <c r="M83" s="139"/>
      <c r="N83" s="138"/>
      <c r="P83" s="79"/>
      <c r="Q83" s="77"/>
      <c r="R83" s="77"/>
      <c r="S83" s="77"/>
      <c r="T83" s="77"/>
      <c r="U83" s="77"/>
      <c r="V83" s="77"/>
      <c r="W83" s="77"/>
      <c r="X83" s="77"/>
      <c r="Y83" s="77"/>
      <c r="Z83" s="77"/>
    </row>
    <row r="84" spans="1:26" ht="18" customHeight="1" x14ac:dyDescent="0.25">
      <c r="A84" s="76" t="s">
        <v>436</v>
      </c>
      <c r="B84" s="282"/>
      <c r="C84" s="79"/>
      <c r="E84" s="296"/>
      <c r="F84" s="296"/>
      <c r="G84" s="296"/>
      <c r="H84" s="296"/>
      <c r="I84" s="296"/>
      <c r="J84" s="296"/>
      <c r="K84" s="296"/>
      <c r="L84" s="168"/>
      <c r="M84" s="139"/>
      <c r="N84" s="138"/>
      <c r="P84" s="79"/>
      <c r="Q84" s="77"/>
      <c r="R84" s="77"/>
      <c r="S84" s="77"/>
      <c r="T84" s="77"/>
      <c r="U84" s="77"/>
      <c r="V84" s="77"/>
      <c r="W84" s="77"/>
      <c r="X84" s="77"/>
      <c r="Y84" s="77"/>
      <c r="Z84" s="77"/>
    </row>
    <row r="85" spans="1:26" ht="16.899999999999999" customHeight="1" x14ac:dyDescent="0.25">
      <c r="A85" s="76" t="s">
        <v>436</v>
      </c>
      <c r="B85" s="282"/>
      <c r="C85" s="79"/>
      <c r="E85" s="296"/>
      <c r="F85" s="296"/>
      <c r="G85" s="296"/>
      <c r="H85" s="296"/>
      <c r="I85" s="296"/>
      <c r="J85" s="296"/>
      <c r="K85" s="296"/>
      <c r="L85" s="168"/>
      <c r="M85" s="139"/>
      <c r="N85" s="138"/>
      <c r="O85" s="163"/>
      <c r="P85" s="79"/>
      <c r="Q85" s="77"/>
      <c r="R85" s="77"/>
      <c r="S85" s="77"/>
      <c r="T85" s="77"/>
      <c r="U85" s="77"/>
      <c r="V85" s="77"/>
      <c r="W85" s="77"/>
      <c r="X85" s="77"/>
      <c r="Y85" s="77"/>
      <c r="Z85" s="77"/>
    </row>
    <row r="86" spans="1:26" ht="203.25" customHeight="1" x14ac:dyDescent="0.25">
      <c r="A86" s="76" t="s">
        <v>436</v>
      </c>
      <c r="B86" s="282"/>
      <c r="C86" s="79"/>
      <c r="E86" s="297"/>
      <c r="F86" s="297"/>
      <c r="G86" s="297"/>
      <c r="H86" s="297"/>
      <c r="I86" s="297"/>
      <c r="J86" s="297"/>
      <c r="K86" s="297"/>
      <c r="L86" s="168"/>
      <c r="M86" s="139"/>
      <c r="N86" s="138"/>
      <c r="O86" s="163"/>
      <c r="P86" s="79"/>
      <c r="Q86" s="77"/>
      <c r="R86" s="77"/>
      <c r="S86" s="77"/>
      <c r="T86" s="77"/>
      <c r="U86" s="77"/>
      <c r="V86" s="77"/>
      <c r="W86" s="77"/>
      <c r="X86" s="77"/>
      <c r="Y86" s="77"/>
      <c r="Z86" s="77"/>
    </row>
    <row r="87" spans="1:26" ht="30.6" customHeight="1" x14ac:dyDescent="0.35">
      <c r="A87" s="76" t="s">
        <v>436</v>
      </c>
      <c r="B87" s="282"/>
      <c r="C87" s="79"/>
      <c r="E87" s="200" t="str">
        <f>"Spg. 4.1: "&amp;VLOOKUP(D81,Table_Questions[#All],4,FALSE)</f>
        <v>Spg. 4.1: Hvordan vurderer du organisationens modenhed i forhold til nedenstående udsagn?</v>
      </c>
      <c r="F87" s="89"/>
      <c r="K87" s="24"/>
      <c r="L87" s="24"/>
      <c r="M87" s="24"/>
      <c r="N87" s="24"/>
      <c r="O87" s="163"/>
      <c r="P87" s="79"/>
      <c r="Q87" s="77"/>
      <c r="R87" s="77"/>
      <c r="S87" s="77"/>
      <c r="T87" s="77"/>
      <c r="U87" s="77"/>
      <c r="V87" s="77"/>
      <c r="W87" s="77"/>
      <c r="X87" s="77"/>
      <c r="Y87" s="77"/>
      <c r="Z87" s="77"/>
    </row>
    <row r="88" spans="1:26" ht="14.45" customHeight="1" x14ac:dyDescent="0.25">
      <c r="A88" s="76" t="s">
        <v>436</v>
      </c>
      <c r="B88" s="282"/>
      <c r="C88" s="79"/>
      <c r="O88" s="163"/>
      <c r="P88" s="79"/>
      <c r="Q88" s="77"/>
      <c r="R88" s="77"/>
      <c r="S88" s="77"/>
      <c r="T88" s="77"/>
      <c r="U88" s="77"/>
      <c r="V88" s="77"/>
      <c r="W88" s="77"/>
      <c r="X88" s="77"/>
      <c r="Y88" s="77"/>
      <c r="Z88" s="77"/>
    </row>
    <row r="89" spans="1:26" ht="16.149999999999999" customHeight="1" x14ac:dyDescent="0.3">
      <c r="A89" s="76" t="s">
        <v>436</v>
      </c>
      <c r="B89" s="282"/>
      <c r="C89" s="79"/>
      <c r="E89" s="198" t="str">
        <f>S_Lookupsheet!$BC$2</f>
        <v>Vælg dit svar til højre for matricen</v>
      </c>
      <c r="O89" s="163"/>
      <c r="P89" s="79"/>
      <c r="Q89" s="77"/>
      <c r="R89" s="77"/>
      <c r="S89" s="77"/>
      <c r="T89" s="77"/>
      <c r="U89" s="77"/>
      <c r="V89" s="77"/>
      <c r="W89" s="77"/>
      <c r="X89" s="77"/>
      <c r="Y89" s="77"/>
      <c r="Z89" s="77"/>
    </row>
    <row r="90" spans="1:26" ht="23.45" customHeight="1" thickBot="1" x14ac:dyDescent="0.3">
      <c r="A90" s="76" t="s">
        <v>436</v>
      </c>
      <c r="B90" s="282"/>
      <c r="C90" s="79"/>
      <c r="G90" s="90" t="s">
        <v>4</v>
      </c>
      <c r="H90" s="90" t="s">
        <v>5</v>
      </c>
      <c r="I90" s="90" t="s">
        <v>6</v>
      </c>
      <c r="J90" s="90" t="s">
        <v>7</v>
      </c>
      <c r="K90" s="90" t="s">
        <v>14</v>
      </c>
      <c r="L90" s="90"/>
      <c r="M90" s="90" t="s">
        <v>168</v>
      </c>
      <c r="N90" s="90" t="s">
        <v>388</v>
      </c>
      <c r="P90" s="79"/>
      <c r="Q90" s="77"/>
      <c r="R90" s="77"/>
      <c r="S90" s="77"/>
      <c r="T90" s="77"/>
      <c r="U90" s="77"/>
      <c r="V90" s="77"/>
      <c r="W90" s="77"/>
      <c r="X90" s="77"/>
      <c r="Y90" s="77"/>
      <c r="Z90" s="77"/>
    </row>
    <row r="91" spans="1:26" ht="99" customHeight="1" thickBot="1" x14ac:dyDescent="0.3">
      <c r="A91" s="76" t="s">
        <v>242</v>
      </c>
      <c r="B91" s="282" t="s">
        <v>76</v>
      </c>
      <c r="C91" s="79"/>
      <c r="D91" s="91"/>
      <c r="E91" s="288" t="s">
        <v>407</v>
      </c>
      <c r="F91" s="303"/>
      <c r="G91" s="178" t="str">
        <f>VLOOKUP($A91&amp;G$1,Table_Answers[],2,FALSE)</f>
        <v>Ad hoc</v>
      </c>
      <c r="H91" s="178" t="str">
        <f>VLOOKUP($A91&amp;H$1,Table_Answers[],2,FALSE)</f>
        <v>Gentaget</v>
      </c>
      <c r="I91" s="181" t="str">
        <f>VLOOKUP($A91&amp;I$1,Table_Answers[],2,FALSE)</f>
        <v>Procesunderstøttet</v>
      </c>
      <c r="J91" s="180" t="str">
        <f>VLOOKUP($A91&amp;J$1,Table_Answers[],2,FALSE)</f>
        <v>Styret og målbar</v>
      </c>
      <c r="K91" s="203" t="str">
        <f>VLOOKUP($A91&amp;K$1,Table_Answers[],2,FALSE)</f>
        <v>Optimeret</v>
      </c>
      <c r="L91" s="260"/>
      <c r="M91" s="165" t="s">
        <v>167</v>
      </c>
      <c r="N91" s="250" t="s">
        <v>389</v>
      </c>
      <c r="O91" s="163">
        <f>IF(K91="Ikke relevant",5,IF(_xlfn.IFNA(VLOOKUP(A91,MasterTable[[Spørgsmål]:[Aktuelt niveau - kvalitetsstyringsprincip]],3,FALSE),0)&gt;0,1,0))</f>
        <v>0</v>
      </c>
      <c r="P91" s="79"/>
      <c r="Q91" s="77"/>
      <c r="R91" s="77"/>
      <c r="S91" s="77"/>
      <c r="T91" s="77"/>
      <c r="U91" s="77"/>
      <c r="V91" s="77"/>
      <c r="W91" s="77"/>
      <c r="X91" s="77"/>
      <c r="Y91" s="77"/>
      <c r="Z91" s="77"/>
    </row>
    <row r="92" spans="1:26" ht="186.75" customHeight="1" thickBot="1" x14ac:dyDescent="0.3">
      <c r="A92" s="76" t="s">
        <v>243</v>
      </c>
      <c r="B92" s="282" t="s">
        <v>77</v>
      </c>
      <c r="C92" s="79"/>
      <c r="E92" s="288" t="s">
        <v>406</v>
      </c>
      <c r="F92" s="303"/>
      <c r="G92" s="178" t="str">
        <f>VLOOKUP($A92&amp;G$1,Table_Answers[],2,FALSE)</f>
        <v>Ad hoc</v>
      </c>
      <c r="H92" s="178" t="str">
        <f>VLOOKUP($A92&amp;H$1,Table_Answers[],2,FALSE)</f>
        <v>Gentaget</v>
      </c>
      <c r="I92" s="178" t="str">
        <f>VLOOKUP($A92&amp;I$1,Table_Answers[],2,FALSE)</f>
        <v>Procesunderstøttet</v>
      </c>
      <c r="J92" s="189" t="str">
        <f>VLOOKUP($A92&amp;J$1,Table_Answers[],2,FALSE)</f>
        <v>Styret og målbar</v>
      </c>
      <c r="K92" s="202" t="str">
        <f>VLOOKUP($A92&amp;K$1,Table_Answers[],2,FALSE)</f>
        <v>Optimeret</v>
      </c>
      <c r="L92" s="258"/>
      <c r="M92" s="165" t="s">
        <v>167</v>
      </c>
      <c r="N92" s="250" t="s">
        <v>389</v>
      </c>
      <c r="O92" s="163">
        <f>IF(K92="Ikke relevant",5,IF(_xlfn.IFNA(VLOOKUP(A92,MasterTable[[Spørgsmål]:[Aktuelt niveau - kvalitetsstyringsprincip]],3,FALSE),0)&gt;0,1,0))</f>
        <v>0</v>
      </c>
      <c r="P92" s="79"/>
      <c r="Q92" s="77"/>
      <c r="R92" s="77"/>
      <c r="S92" s="77"/>
      <c r="T92" s="77"/>
      <c r="U92" s="77"/>
      <c r="V92" s="77"/>
      <c r="W92" s="77"/>
      <c r="X92" s="77"/>
      <c r="Y92" s="77"/>
      <c r="Z92" s="77"/>
    </row>
    <row r="93" spans="1:26" ht="106.5" customHeight="1" thickBot="1" x14ac:dyDescent="0.3">
      <c r="A93" s="76" t="s">
        <v>244</v>
      </c>
      <c r="B93" s="282" t="s">
        <v>78</v>
      </c>
      <c r="C93" s="79"/>
      <c r="E93" s="288" t="s">
        <v>405</v>
      </c>
      <c r="F93" s="303"/>
      <c r="G93" s="178" t="str">
        <f>VLOOKUP($A93&amp;G$1,Table_Answers[],2,FALSE)</f>
        <v>Ad hoc</v>
      </c>
      <c r="H93" s="178" t="str">
        <f>VLOOKUP($A93&amp;H$1,Table_Answers[],2,FALSE)</f>
        <v>Gentaget</v>
      </c>
      <c r="I93" s="178" t="str">
        <f>VLOOKUP($A93&amp;I$1,Table_Answers[],2,FALSE)</f>
        <v>Procesunderstøttet</v>
      </c>
      <c r="J93" s="180" t="str">
        <f>VLOOKUP($A93&amp;J$1,Table_Answers[],2,FALSE)</f>
        <v>Styret og målbar</v>
      </c>
      <c r="K93" s="188" t="str">
        <f>VLOOKUP($A93&amp;K$1,Table_Answers[],2,FALSE)</f>
        <v>Optimeret</v>
      </c>
      <c r="L93" s="258"/>
      <c r="M93" s="165" t="s">
        <v>167</v>
      </c>
      <c r="N93" s="250" t="s">
        <v>389</v>
      </c>
      <c r="O93" s="163">
        <f>IF(K93="Ikke relevant",5,IF(_xlfn.IFNA(VLOOKUP(A93,MasterTable[[Spørgsmål]:[Aktuelt niveau - kvalitetsstyringsprincip]],3,FALSE),0)&gt;0,1,0))</f>
        <v>0</v>
      </c>
      <c r="P93" s="79"/>
      <c r="Q93" s="77"/>
      <c r="R93" s="77"/>
      <c r="S93" s="77"/>
      <c r="T93" s="77"/>
      <c r="U93" s="77"/>
      <c r="V93" s="77"/>
      <c r="W93" s="77"/>
      <c r="X93" s="77"/>
      <c r="Y93" s="77"/>
      <c r="Z93" s="77"/>
    </row>
    <row r="94" spans="1:26" ht="106.5" customHeight="1" thickBot="1" x14ac:dyDescent="0.3">
      <c r="A94" s="76" t="s">
        <v>245</v>
      </c>
      <c r="B94" s="282" t="s">
        <v>85</v>
      </c>
      <c r="C94" s="79"/>
      <c r="D94" s="166"/>
      <c r="E94" s="288" t="s">
        <v>404</v>
      </c>
      <c r="F94" s="288"/>
      <c r="G94" s="178" t="str">
        <f>VLOOKUP($A94&amp;G$1,Table_Answers[],2,FALSE)</f>
        <v>Ad hoc</v>
      </c>
      <c r="H94" s="178" t="str">
        <f>VLOOKUP($A94&amp;H$1,Table_Answers[],2,FALSE)</f>
        <v>Gentaget</v>
      </c>
      <c r="I94" s="178" t="str">
        <f>VLOOKUP($A94&amp;I$1,Table_Answers[],2,FALSE)</f>
        <v>Procesunderstøttet</v>
      </c>
      <c r="J94" s="189" t="str">
        <f>VLOOKUP($A94&amp;J$1,Table_Answers[],2,FALSE)</f>
        <v>Styret og målbar</v>
      </c>
      <c r="K94" s="202" t="str">
        <f>VLOOKUP($A94&amp;K$1,Table_Answers[],2,FALSE)</f>
        <v>Optimeret</v>
      </c>
      <c r="L94" s="258"/>
      <c r="M94" s="165" t="s">
        <v>167</v>
      </c>
      <c r="N94" s="250" t="s">
        <v>389</v>
      </c>
      <c r="O94" s="163">
        <f>IF(K94="Ikke relevant",5,IF(_xlfn.IFNA(VLOOKUP(A94,MasterTable[[Spørgsmål]:[Aktuelt niveau - kvalitetsstyringsprincip]],3,FALSE),0)&gt;0,1,0))</f>
        <v>0</v>
      </c>
      <c r="P94" s="79"/>
      <c r="Q94" s="77"/>
      <c r="R94" s="77"/>
      <c r="S94" s="77"/>
      <c r="T94" s="77"/>
      <c r="U94" s="77"/>
      <c r="V94" s="77"/>
      <c r="W94" s="77"/>
      <c r="X94" s="77"/>
      <c r="Y94" s="77"/>
      <c r="Z94" s="77"/>
    </row>
    <row r="95" spans="1:26" ht="154.5" customHeight="1" thickBot="1" x14ac:dyDescent="0.3">
      <c r="A95" s="76" t="s">
        <v>246</v>
      </c>
      <c r="B95" s="282" t="s">
        <v>86</v>
      </c>
      <c r="C95" s="79"/>
      <c r="D95" s="166"/>
      <c r="E95" s="293" t="s">
        <v>403</v>
      </c>
      <c r="F95" s="304"/>
      <c r="G95" s="178" t="str">
        <f>VLOOKUP($A95&amp;G$1,Table_Answers[],2,FALSE)</f>
        <v>Ad hoc</v>
      </c>
      <c r="H95" s="178" t="str">
        <f>VLOOKUP($A95&amp;H$1,Table_Answers[],2,FALSE)</f>
        <v>Gentaget</v>
      </c>
      <c r="I95" s="179" t="str">
        <f>VLOOKUP($A95&amp;I$1,Table_Answers[],2,FALSE)</f>
        <v>Procesunderstøttet</v>
      </c>
      <c r="J95" s="180" t="str">
        <f>VLOOKUP($A95&amp;J$1,Table_Answers[],2,FALSE)</f>
        <v>Styret og målbar</v>
      </c>
      <c r="K95" s="202" t="str">
        <f>VLOOKUP($A95&amp;K$1,Table_Answers[],2,FALSE)</f>
        <v>Optimeret</v>
      </c>
      <c r="L95" s="259"/>
      <c r="M95" s="165" t="s">
        <v>167</v>
      </c>
      <c r="N95" s="250" t="s">
        <v>389</v>
      </c>
      <c r="O95" s="163">
        <f>IF(K95="Ikke relevant",5,IF(_xlfn.IFNA(VLOOKUP(A95,MasterTable[[Spørgsmål]:[Aktuelt niveau - kvalitetsstyringsprincip]],3,FALSE),0)&gt;0,1,0))</f>
        <v>0</v>
      </c>
      <c r="P95" s="79"/>
      <c r="Q95" s="77"/>
      <c r="R95" s="77"/>
      <c r="S95" s="77"/>
      <c r="T95" s="77"/>
      <c r="U95" s="77"/>
      <c r="V95" s="77"/>
      <c r="W95" s="77"/>
      <c r="X95" s="77"/>
      <c r="Y95" s="77"/>
      <c r="Z95" s="77"/>
    </row>
    <row r="96" spans="1:26" ht="179.25" hidden="1" customHeight="1" thickBot="1" x14ac:dyDescent="0.3">
      <c r="A96" s="76" t="s">
        <v>247</v>
      </c>
      <c r="B96" s="282" t="s">
        <v>87</v>
      </c>
      <c r="C96" s="79"/>
      <c r="D96" s="166"/>
      <c r="E96" s="293" t="s">
        <v>121</v>
      </c>
      <c r="F96" s="304"/>
      <c r="G96" s="178" t="str">
        <f>VLOOKUP($A96&amp;G$1,Table_Answers[],2,FALSE)</f>
        <v>Ikke relevant</v>
      </c>
      <c r="H96" s="178" t="str">
        <f>VLOOKUP($A96&amp;H$1,Table_Answers[],2,FALSE)</f>
        <v>Ikke relevant</v>
      </c>
      <c r="I96" s="179" t="str">
        <f>VLOOKUP($A96&amp;I$1,Table_Answers[],2,FALSE)</f>
        <v>Ikke relevant</v>
      </c>
      <c r="J96" s="180" t="str">
        <f>VLOOKUP($A96&amp;J$1,Table_Answers[],2,FALSE)</f>
        <v>Ikke relevant</v>
      </c>
      <c r="K96" s="202" t="str">
        <f>VLOOKUP($A96&amp;K$1,Table_Answers[],2,FALSE)</f>
        <v>Ikke relevant</v>
      </c>
      <c r="L96" s="259"/>
      <c r="M96" s="165" t="s">
        <v>208</v>
      </c>
      <c r="N96" s="250" t="s">
        <v>167</v>
      </c>
      <c r="O96" s="163"/>
      <c r="P96" s="79"/>
      <c r="Q96" s="77"/>
      <c r="R96" s="77"/>
      <c r="S96" s="77"/>
      <c r="T96" s="77"/>
      <c r="U96" s="77"/>
      <c r="V96" s="77"/>
      <c r="W96" s="77"/>
      <c r="X96" s="77"/>
      <c r="Y96" s="77"/>
      <c r="Z96" s="77"/>
    </row>
    <row r="97" spans="1:26" ht="16.5" hidden="1" thickBot="1" x14ac:dyDescent="0.3">
      <c r="A97" s="76" t="s">
        <v>436</v>
      </c>
      <c r="B97" s="282"/>
      <c r="C97" s="79"/>
      <c r="E97" s="92"/>
      <c r="F97" s="48"/>
      <c r="G97" s="24"/>
      <c r="H97" s="24"/>
      <c r="I97" s="24"/>
      <c r="J97" s="24"/>
      <c r="K97" s="93" t="str">
        <f>N98</f>
        <v xml:space="preserve">Indsæt evt. interne bemærkninger som begrundelser for vurderingen. </v>
      </c>
      <c r="L97" s="93"/>
      <c r="M97" s="93"/>
      <c r="N97" s="93"/>
      <c r="O97" s="163"/>
      <c r="P97" s="79"/>
      <c r="Q97" s="77"/>
      <c r="R97" s="77"/>
      <c r="S97" s="77"/>
      <c r="T97" s="77"/>
      <c r="U97" s="77"/>
      <c r="V97" s="77"/>
      <c r="W97" s="77"/>
      <c r="X97" s="77"/>
      <c r="Y97" s="77"/>
      <c r="Z97" s="77"/>
    </row>
    <row r="98" spans="1:26" ht="70.5" customHeight="1" thickBot="1" x14ac:dyDescent="0.3">
      <c r="A98" s="76" t="s">
        <v>437</v>
      </c>
      <c r="B98" s="282" t="s">
        <v>426</v>
      </c>
      <c r="C98" s="79"/>
      <c r="E98" s="317" t="str">
        <f>"Spg. 4.2: "&amp;"Med afsæt i din organisations vurdering af væsentligheden af de forskellige udsagn, hvordan vurderer du samlet set modenheden af "&amp;E81&amp;"?"</f>
        <v>Spg. 4.2: Med afsæt i din organisations vurdering af væsentligheden af de forskellige udsagn, hvordan vurderer du samlet set modenheden af Support?</v>
      </c>
      <c r="F98" s="317"/>
      <c r="G98" s="317"/>
      <c r="H98" s="317"/>
      <c r="I98" s="317"/>
      <c r="J98" s="317"/>
      <c r="K98" s="317"/>
      <c r="L98" s="273"/>
      <c r="M98" s="201" t="s">
        <v>167</v>
      </c>
      <c r="N98" s="250" t="s">
        <v>389</v>
      </c>
      <c r="O98" s="276">
        <f>IFERROR(IF(MATCH(M98,Table_Spørgeramme[Spørgeramme],0)-1&gt;0,2,0),0)</f>
        <v>0</v>
      </c>
      <c r="P98" s="79"/>
      <c r="Q98" s="77"/>
      <c r="R98" s="77"/>
      <c r="S98" s="318" t="s">
        <v>460</v>
      </c>
      <c r="T98" s="319"/>
      <c r="U98" s="319"/>
      <c r="V98" s="319"/>
      <c r="W98" s="319"/>
      <c r="X98" s="320"/>
      <c r="Y98" s="77"/>
      <c r="Z98" s="77"/>
    </row>
    <row r="99" spans="1:26" ht="60.75" customHeight="1" thickBot="1" x14ac:dyDescent="0.3">
      <c r="A99" s="76" t="s">
        <v>438</v>
      </c>
      <c r="B99" s="282" t="s">
        <v>427</v>
      </c>
      <c r="C99" s="79"/>
      <c r="L99" s="271"/>
      <c r="M99" s="201" t="s">
        <v>7</v>
      </c>
      <c r="N99" s="272" t="s">
        <v>391</v>
      </c>
      <c r="O99" s="163"/>
      <c r="P99" s="79"/>
      <c r="Q99" s="77"/>
      <c r="R99" s="77"/>
      <c r="S99" s="321"/>
      <c r="T99" s="322"/>
      <c r="U99" s="322"/>
      <c r="V99" s="322"/>
      <c r="W99" s="322"/>
      <c r="X99" s="323"/>
      <c r="Y99" s="77"/>
      <c r="Z99" s="77"/>
    </row>
    <row r="100" spans="1:26" ht="17.45" customHeight="1" x14ac:dyDescent="0.25">
      <c r="A100" s="76" t="s">
        <v>436</v>
      </c>
      <c r="B100" s="282"/>
      <c r="C100" s="79"/>
      <c r="D100" s="79"/>
      <c r="E100" s="79"/>
      <c r="F100" s="79"/>
      <c r="G100" s="79"/>
      <c r="H100" s="79"/>
      <c r="I100" s="79"/>
      <c r="J100" s="79"/>
      <c r="K100" s="79"/>
      <c r="L100" s="79"/>
      <c r="M100" s="79"/>
      <c r="N100" s="79"/>
      <c r="O100" s="278"/>
      <c r="P100" s="79"/>
      <c r="Q100" s="77"/>
      <c r="R100" s="77"/>
      <c r="S100" s="77"/>
      <c r="T100" s="77"/>
      <c r="U100" s="77"/>
      <c r="V100" s="77"/>
      <c r="W100" s="77"/>
      <c r="X100" s="77"/>
      <c r="Y100" s="77"/>
      <c r="Z100" s="77"/>
    </row>
    <row r="101" spans="1:26" ht="21" customHeight="1" x14ac:dyDescent="0.25">
      <c r="A101" s="76" t="s">
        <v>439</v>
      </c>
      <c r="B101" s="282"/>
      <c r="C101" s="79"/>
      <c r="D101" s="73" t="str">
        <f>COUNTA($D$2:$D100)&amp;"."</f>
        <v>5.</v>
      </c>
      <c r="E101" s="74" t="str">
        <f>VLOOKUP(D101,Table_Questions[#All],2,FALSE)</f>
        <v xml:space="preserve">Drift </v>
      </c>
      <c r="F101" s="83"/>
      <c r="G101" s="74" t="s">
        <v>370</v>
      </c>
      <c r="H101" s="83"/>
      <c r="I101" s="83"/>
      <c r="J101" s="83"/>
      <c r="K101" s="83"/>
      <c r="L101" s="83"/>
      <c r="M101" s="83"/>
      <c r="N101" s="83"/>
      <c r="O101" s="280"/>
      <c r="P101" s="79"/>
      <c r="Q101" s="77"/>
      <c r="R101" s="77"/>
      <c r="S101" s="77"/>
      <c r="T101" s="77"/>
      <c r="U101" s="77"/>
      <c r="V101" s="77"/>
      <c r="W101" s="77"/>
      <c r="X101" s="77"/>
      <c r="Y101" s="77"/>
      <c r="Z101" s="77"/>
    </row>
    <row r="102" spans="1:26" ht="36.75" customHeight="1" x14ac:dyDescent="0.3">
      <c r="A102" s="76" t="s">
        <v>439</v>
      </c>
      <c r="B102" s="282"/>
      <c r="C102" s="79"/>
      <c r="E102" s="300" t="s">
        <v>315</v>
      </c>
      <c r="F102" s="300"/>
      <c r="G102" s="300"/>
      <c r="H102" s="300"/>
      <c r="I102" s="300"/>
      <c r="J102" s="300"/>
      <c r="K102" s="300"/>
      <c r="P102" s="79"/>
      <c r="Q102" s="77"/>
      <c r="R102" s="77"/>
      <c r="S102" s="77"/>
      <c r="T102" s="77"/>
      <c r="U102" s="77"/>
      <c r="V102" s="77"/>
      <c r="W102" s="77"/>
      <c r="X102" s="77"/>
      <c r="Y102" s="77"/>
      <c r="Z102" s="77"/>
    </row>
    <row r="103" spans="1:26" ht="18.600000000000001" customHeight="1" x14ac:dyDescent="0.25">
      <c r="A103" s="76" t="s">
        <v>439</v>
      </c>
      <c r="B103" s="282"/>
      <c r="C103" s="79"/>
      <c r="E103" s="295" t="str">
        <f>VLOOKUP(D101,Table_Questions[],3,FALSE)</f>
        <v>For at understøtte driften af ISMS’et og sikre relevans af opgaverne med informationssikkerhed, skal driften styres. Organisationens modenhed kan eksempelvis vurderes ud fra følgende elementer:   
• Der eksisterer eksempelvis et ledelsesgodkendt årshjul eller plan for processer og opgaver, der understøtter organisationens ISMS. Gennemførelsen af planen dokumenteres, eksempelvis gennem en status eller afrapportering på en plan. 
• Organisationens plan og aktiviteter genbesøges, således at der tages højde for evt. ændringer, eksempelvis ift. ressourcer, lovkrav, erfaringer fra hændelser, ændringer i leverandørforhold mm.
• Der foreligger en plan for risikovurderinger, således at organisationen sikrer, at vurderingerne finder sted med faste mellemrum og i henhold til organisationens metode.
• Der arbejdes aktivt med håndtering af risici, eksempelvis ved at ledelsen aktivt og løbende gennemgår fremdriften i organisationens risikohåndteringsplan(er).
Hent mere vejledning under ”Årshjul og planlægning” og "Risikostyring" på sikkerdigital.dk.</v>
      </c>
      <c r="F103" s="295"/>
      <c r="G103" s="295"/>
      <c r="H103" s="295"/>
      <c r="I103" s="295"/>
      <c r="J103" s="295"/>
      <c r="K103" s="295"/>
      <c r="L103" s="168"/>
      <c r="M103" s="139"/>
      <c r="N103" s="138"/>
      <c r="P103" s="79"/>
      <c r="Q103" s="77"/>
      <c r="R103" s="77"/>
      <c r="S103" s="77"/>
      <c r="T103" s="77"/>
      <c r="U103" s="77"/>
      <c r="V103" s="77"/>
      <c r="W103" s="77"/>
      <c r="X103" s="77"/>
      <c r="Y103" s="77"/>
      <c r="Z103" s="77"/>
    </row>
    <row r="104" spans="1:26" ht="18" customHeight="1" x14ac:dyDescent="0.25">
      <c r="A104" s="76" t="s">
        <v>439</v>
      </c>
      <c r="B104" s="282"/>
      <c r="C104" s="79"/>
      <c r="E104" s="296"/>
      <c r="F104" s="296"/>
      <c r="G104" s="296"/>
      <c r="H104" s="296"/>
      <c r="I104" s="296"/>
      <c r="J104" s="296"/>
      <c r="K104" s="296"/>
      <c r="L104" s="168"/>
      <c r="M104" s="139"/>
      <c r="N104" s="138"/>
      <c r="P104" s="79"/>
      <c r="Q104" s="77"/>
      <c r="R104" s="77"/>
      <c r="S104" s="77"/>
      <c r="T104" s="77"/>
      <c r="U104" s="77"/>
      <c r="V104" s="77"/>
      <c r="W104" s="77"/>
      <c r="X104" s="77"/>
      <c r="Y104" s="77"/>
      <c r="Z104" s="77"/>
    </row>
    <row r="105" spans="1:26" ht="16.899999999999999" customHeight="1" x14ac:dyDescent="0.25">
      <c r="A105" s="76" t="s">
        <v>439</v>
      </c>
      <c r="B105" s="282"/>
      <c r="C105" s="79"/>
      <c r="E105" s="296"/>
      <c r="F105" s="296"/>
      <c r="G105" s="296"/>
      <c r="H105" s="296"/>
      <c r="I105" s="296"/>
      <c r="J105" s="296"/>
      <c r="K105" s="296"/>
      <c r="L105" s="168"/>
      <c r="M105" s="139"/>
      <c r="N105" s="138"/>
      <c r="O105" s="163"/>
      <c r="P105" s="79"/>
      <c r="Q105" s="77"/>
      <c r="R105" s="77"/>
      <c r="S105" s="77"/>
      <c r="T105" s="77"/>
      <c r="U105" s="77"/>
      <c r="V105" s="77"/>
      <c r="W105" s="77"/>
      <c r="X105" s="77"/>
      <c r="Y105" s="77"/>
      <c r="Z105" s="77"/>
    </row>
    <row r="106" spans="1:26" ht="168" customHeight="1" x14ac:dyDescent="0.25">
      <c r="A106" s="76" t="s">
        <v>439</v>
      </c>
      <c r="B106" s="282"/>
      <c r="C106" s="79"/>
      <c r="E106" s="297"/>
      <c r="F106" s="297"/>
      <c r="G106" s="297"/>
      <c r="H106" s="297"/>
      <c r="I106" s="297"/>
      <c r="J106" s="297"/>
      <c r="K106" s="297"/>
      <c r="L106" s="168"/>
      <c r="M106" s="139"/>
      <c r="N106" s="138"/>
      <c r="O106" s="163"/>
      <c r="P106" s="79"/>
      <c r="Q106" s="77"/>
      <c r="R106" s="77"/>
      <c r="S106" s="77"/>
      <c r="T106" s="77"/>
      <c r="U106" s="77"/>
      <c r="V106" s="77"/>
      <c r="W106" s="77"/>
      <c r="X106" s="77"/>
      <c r="Y106" s="77"/>
      <c r="Z106" s="77"/>
    </row>
    <row r="107" spans="1:26" ht="30.75" customHeight="1" x14ac:dyDescent="0.35">
      <c r="A107" s="76" t="s">
        <v>439</v>
      </c>
      <c r="B107" s="282"/>
      <c r="C107" s="79"/>
      <c r="E107" s="200" t="str">
        <f>"Spg. 5.1: "&amp;VLOOKUP(D101,Table_Questions[#All],4,FALSE)</f>
        <v>Spg. 5.1: Hvordan vurderer du organisationens modenhed i forhold til nedenstående udsagn?</v>
      </c>
      <c r="F107" s="89"/>
      <c r="K107" s="24"/>
      <c r="L107" s="24"/>
      <c r="M107" s="24"/>
      <c r="N107" s="24"/>
      <c r="O107" s="163"/>
      <c r="P107" s="79"/>
      <c r="Q107" s="77"/>
      <c r="R107" s="77"/>
      <c r="S107" s="77"/>
      <c r="T107" s="77"/>
      <c r="U107" s="77"/>
      <c r="V107" s="77"/>
      <c r="W107" s="77"/>
      <c r="X107" s="77"/>
      <c r="Y107" s="77"/>
      <c r="Z107" s="77"/>
    </row>
    <row r="108" spans="1:26" ht="14.45" customHeight="1" x14ac:dyDescent="0.25">
      <c r="A108" s="76" t="s">
        <v>439</v>
      </c>
      <c r="B108" s="282"/>
      <c r="C108" s="79"/>
      <c r="O108" s="163"/>
      <c r="P108" s="79"/>
      <c r="Q108" s="77"/>
      <c r="R108" s="77"/>
      <c r="S108" s="77"/>
      <c r="T108" s="77"/>
      <c r="U108" s="77"/>
      <c r="V108" s="77"/>
      <c r="W108" s="77"/>
      <c r="X108" s="77"/>
      <c r="Y108" s="77"/>
      <c r="Z108" s="77"/>
    </row>
    <row r="109" spans="1:26" ht="16.149999999999999" customHeight="1" x14ac:dyDescent="0.3">
      <c r="A109" s="76" t="s">
        <v>439</v>
      </c>
      <c r="B109" s="282"/>
      <c r="C109" s="79"/>
      <c r="E109" s="198" t="str">
        <f>S_Lookupsheet!$BC$2</f>
        <v>Vælg dit svar til højre for matricen</v>
      </c>
      <c r="O109" s="163"/>
      <c r="P109" s="79"/>
      <c r="Q109" s="77"/>
      <c r="R109" s="77"/>
      <c r="S109" s="77"/>
      <c r="T109" s="77"/>
      <c r="U109" s="77"/>
      <c r="V109" s="77"/>
      <c r="W109" s="77"/>
      <c r="X109" s="77"/>
      <c r="Y109" s="77"/>
      <c r="Z109" s="77"/>
    </row>
    <row r="110" spans="1:26" ht="23.45" customHeight="1" thickBot="1" x14ac:dyDescent="0.3">
      <c r="A110" s="76" t="s">
        <v>439</v>
      </c>
      <c r="B110" s="282"/>
      <c r="C110" s="79"/>
      <c r="G110" s="90" t="s">
        <v>4</v>
      </c>
      <c r="H110" s="90" t="s">
        <v>5</v>
      </c>
      <c r="I110" s="90" t="s">
        <v>6</v>
      </c>
      <c r="J110" s="90" t="s">
        <v>7</v>
      </c>
      <c r="K110" s="90" t="s">
        <v>14</v>
      </c>
      <c r="L110" s="90"/>
      <c r="M110" s="90" t="s">
        <v>168</v>
      </c>
      <c r="N110" s="90" t="s">
        <v>388</v>
      </c>
      <c r="P110" s="79"/>
      <c r="Q110" s="77"/>
      <c r="R110" s="77"/>
      <c r="S110" s="77"/>
      <c r="T110" s="77"/>
      <c r="U110" s="77"/>
      <c r="V110" s="77"/>
      <c r="W110" s="77"/>
      <c r="X110" s="77"/>
      <c r="Y110" s="77"/>
      <c r="Z110" s="77"/>
    </row>
    <row r="111" spans="1:26" ht="112.5" customHeight="1" thickBot="1" x14ac:dyDescent="0.3">
      <c r="A111" s="76" t="s">
        <v>248</v>
      </c>
      <c r="B111" s="282" t="s">
        <v>76</v>
      </c>
      <c r="C111" s="79"/>
      <c r="D111" s="91"/>
      <c r="E111" s="288" t="s">
        <v>466</v>
      </c>
      <c r="F111" s="288"/>
      <c r="G111" s="204" t="str">
        <f>VLOOKUP($A111&amp;G$1,Table_Answers[],2,FALSE)</f>
        <v>Ad hoc</v>
      </c>
      <c r="H111" s="205" t="str">
        <f>VLOOKUP($A111&amp;H$1,Table_Answers[],2,FALSE)</f>
        <v>Gentaget</v>
      </c>
      <c r="I111" s="205" t="str">
        <f>VLOOKUP($A111&amp;I$1,Table_Answers[],2,FALSE)</f>
        <v>Procesunderstøttet</v>
      </c>
      <c r="J111" s="188" t="str">
        <f>VLOOKUP($A111&amp;J$1,Table_Answers[],2,FALSE)</f>
        <v>Styret og målbar</v>
      </c>
      <c r="K111" s="206" t="str">
        <f>VLOOKUP($A111&amp;K$1,Table_Answers[],2,FALSE)</f>
        <v>Optimeret</v>
      </c>
      <c r="L111" s="257"/>
      <c r="M111" s="165" t="s">
        <v>167</v>
      </c>
      <c r="N111" s="250" t="s">
        <v>389</v>
      </c>
      <c r="O111" s="163">
        <f>IF(K111="Ikke relevant",5,IF(_xlfn.IFNA(VLOOKUP(A111,MasterTable[[Spørgsmål]:[Aktuelt niveau - kvalitetsstyringsprincip]],3,FALSE),0)&gt;0,1,0))</f>
        <v>0</v>
      </c>
      <c r="P111" s="79"/>
      <c r="Q111" s="77"/>
      <c r="R111" s="77"/>
      <c r="S111" s="77"/>
      <c r="T111" s="77"/>
      <c r="U111" s="77"/>
      <c r="V111" s="77"/>
      <c r="W111" s="77"/>
      <c r="X111" s="77"/>
      <c r="Y111" s="77"/>
      <c r="Z111" s="77"/>
    </row>
    <row r="112" spans="1:26" ht="81.75" customHeight="1" thickBot="1" x14ac:dyDescent="0.3">
      <c r="A112" s="76" t="s">
        <v>249</v>
      </c>
      <c r="B112" s="282" t="s">
        <v>77</v>
      </c>
      <c r="C112" s="79"/>
      <c r="E112" s="288" t="s">
        <v>476</v>
      </c>
      <c r="F112" s="288"/>
      <c r="G112" s="207" t="str">
        <f>VLOOKUP($A112&amp;G$1,Table_Answers[],2,FALSE)</f>
        <v>Ad hoc</v>
      </c>
      <c r="H112" s="178" t="str">
        <f>VLOOKUP($A112&amp;H$1,Table_Answers[],2,FALSE)</f>
        <v>Gentaget</v>
      </c>
      <c r="I112" s="178" t="str">
        <f>VLOOKUP($A112&amp;I$1,Table_Answers[],2,FALSE)</f>
        <v>Procesunderstøttet</v>
      </c>
      <c r="J112" s="188" t="str">
        <f>VLOOKUP($A112&amp;J$1,Table_Answers[],2,FALSE)</f>
        <v>Styret og målbar</v>
      </c>
      <c r="K112" s="208" t="str">
        <f>VLOOKUP($A112&amp;K$1,Table_Answers[],2,FALSE)</f>
        <v>Optimeret</v>
      </c>
      <c r="L112" s="257"/>
      <c r="M112" s="165" t="s">
        <v>167</v>
      </c>
      <c r="N112" s="250" t="s">
        <v>389</v>
      </c>
      <c r="O112" s="163">
        <f>IF(K112="Ikke relevant",5,IF(_xlfn.IFNA(VLOOKUP(A112,MasterTable[[Spørgsmål]:[Aktuelt niveau - kvalitetsstyringsprincip]],3,FALSE),0)&gt;0,1,0))</f>
        <v>0</v>
      </c>
      <c r="P112" s="79"/>
      <c r="Q112" s="77"/>
      <c r="R112" s="77"/>
      <c r="S112" s="77"/>
      <c r="T112" s="77"/>
      <c r="U112" s="77"/>
      <c r="V112" s="77"/>
      <c r="W112" s="77"/>
      <c r="X112" s="77"/>
      <c r="Y112" s="77"/>
      <c r="Z112" s="77"/>
    </row>
    <row r="113" spans="1:26" ht="86.25" customHeight="1" thickBot="1" x14ac:dyDescent="0.3">
      <c r="A113" s="76" t="s">
        <v>250</v>
      </c>
      <c r="B113" s="282" t="s">
        <v>78</v>
      </c>
      <c r="C113" s="79"/>
      <c r="E113" s="288" t="s">
        <v>467</v>
      </c>
      <c r="F113" s="288"/>
      <c r="G113" s="207" t="str">
        <f>VLOOKUP($A113&amp;G$1,Table_Answers[],2,FALSE)</f>
        <v>Ad hoc</v>
      </c>
      <c r="H113" s="178" t="str">
        <f>VLOOKUP($A113&amp;H$1,Table_Answers[],2,FALSE)</f>
        <v>Gentaget</v>
      </c>
      <c r="I113" s="178" t="str">
        <f>VLOOKUP($A113&amp;I$1,Table_Answers[],2,FALSE)</f>
        <v>Procesunderstøttet</v>
      </c>
      <c r="J113" s="188" t="str">
        <f>VLOOKUP($A113&amp;J$1,Table_Answers[],2,FALSE)</f>
        <v>Styret og målbar</v>
      </c>
      <c r="K113" s="208" t="str">
        <f>VLOOKUP($A113&amp;K$1,Table_Answers[],2,FALSE)</f>
        <v>Optimeret</v>
      </c>
      <c r="L113" s="257"/>
      <c r="M113" s="165" t="s">
        <v>167</v>
      </c>
      <c r="N113" s="250" t="s">
        <v>389</v>
      </c>
      <c r="O113" s="163">
        <f>IF(K113="Ikke relevant",5,IF(_xlfn.IFNA(VLOOKUP(A113,MasterTable[[Spørgsmål]:[Aktuelt niveau - kvalitetsstyringsprincip]],3,FALSE),0)&gt;0,1,0))</f>
        <v>0</v>
      </c>
      <c r="P113" s="79"/>
      <c r="Q113" s="77"/>
      <c r="R113" s="77"/>
      <c r="S113" s="77"/>
      <c r="T113" s="77"/>
      <c r="U113" s="77"/>
      <c r="V113" s="77"/>
      <c r="W113" s="77"/>
      <c r="X113" s="77"/>
      <c r="Y113" s="77"/>
      <c r="Z113" s="77"/>
    </row>
    <row r="114" spans="1:26" ht="105" customHeight="1" thickBot="1" x14ac:dyDescent="0.3">
      <c r="A114" s="76" t="s">
        <v>251</v>
      </c>
      <c r="B114" s="282" t="s">
        <v>85</v>
      </c>
      <c r="C114" s="79"/>
      <c r="D114" s="166"/>
      <c r="E114" s="288" t="s">
        <v>477</v>
      </c>
      <c r="F114" s="288"/>
      <c r="G114" s="207" t="str">
        <f>VLOOKUP($A114&amp;G$1,Table_Answers[],2,FALSE)</f>
        <v>Ad hoc</v>
      </c>
      <c r="H114" s="188" t="str">
        <f>VLOOKUP($A114&amp;H$1,Table_Answers[],2,FALSE)</f>
        <v>Gentaget</v>
      </c>
      <c r="I114" s="178" t="str">
        <f>VLOOKUP($A114&amp;I$1,Table_Answers[],2,FALSE)</f>
        <v>Procesunderstøttet</v>
      </c>
      <c r="J114" s="178" t="str">
        <f>VLOOKUP($A114&amp;J$1,Table_Answers[],2,FALSE)</f>
        <v>Styret og målbar</v>
      </c>
      <c r="K114" s="208" t="str">
        <f>VLOOKUP($A114&amp;K$1,Table_Answers[],2,FALSE)</f>
        <v>Optimeret</v>
      </c>
      <c r="L114" s="257"/>
      <c r="M114" s="165" t="s">
        <v>167</v>
      </c>
      <c r="N114" s="250" t="s">
        <v>389</v>
      </c>
      <c r="O114" s="163">
        <f>IF(K114="Ikke relevant",5,IF(_xlfn.IFNA(VLOOKUP(A114,MasterTable[[Spørgsmål]:[Aktuelt niveau - kvalitetsstyringsprincip]],3,FALSE),0)&gt;0,1,0))</f>
        <v>0</v>
      </c>
      <c r="P114" s="79"/>
      <c r="Q114" s="77"/>
      <c r="R114" s="77"/>
      <c r="S114" s="77"/>
      <c r="T114" s="77"/>
      <c r="U114" s="77"/>
      <c r="V114" s="77"/>
      <c r="W114" s="77"/>
      <c r="X114" s="77"/>
      <c r="Y114" s="77"/>
      <c r="Z114" s="77"/>
    </row>
    <row r="115" spans="1:26" ht="108" customHeight="1" thickBot="1" x14ac:dyDescent="0.3">
      <c r="A115" s="76" t="s">
        <v>252</v>
      </c>
      <c r="B115" s="282" t="s">
        <v>86</v>
      </c>
      <c r="C115" s="79"/>
      <c r="D115" s="166"/>
      <c r="E115" s="293" t="s">
        <v>402</v>
      </c>
      <c r="F115" s="294"/>
      <c r="G115" s="207" t="str">
        <f>VLOOKUP($A115&amp;G$1,Table_Answers[],2,FALSE)</f>
        <v>Ad hoc</v>
      </c>
      <c r="H115" s="178" t="str">
        <f>VLOOKUP($A115&amp;H$1,Table_Answers[],2,FALSE)</f>
        <v>Gentaget</v>
      </c>
      <c r="I115" s="188" t="str">
        <f>VLOOKUP($A115&amp;I$1,Table_Answers[],2,FALSE)</f>
        <v>Procesunderstøttet</v>
      </c>
      <c r="J115" s="178" t="str">
        <f>VLOOKUP($A115&amp;J$1,Table_Answers[],2,FALSE)</f>
        <v>Styret og målbar</v>
      </c>
      <c r="K115" s="208" t="str">
        <f>VLOOKUP($A115&amp;K$1,Table_Answers[],2,FALSE)</f>
        <v>Optimeret</v>
      </c>
      <c r="L115" s="257"/>
      <c r="M115" s="165" t="s">
        <v>167</v>
      </c>
      <c r="N115" s="250" t="s">
        <v>389</v>
      </c>
      <c r="O115" s="163">
        <f>IF(K115="Ikke relevant",5,IF(_xlfn.IFNA(VLOOKUP(A115,MasterTable[[Spørgsmål]:[Aktuelt niveau - kvalitetsstyringsprincip]],3,FALSE),0)&gt;0,1,0))</f>
        <v>0</v>
      </c>
      <c r="P115" s="79"/>
      <c r="Q115" s="77"/>
      <c r="R115" s="77"/>
      <c r="S115" s="77"/>
      <c r="T115" s="77"/>
      <c r="U115" s="77"/>
      <c r="V115" s="77"/>
      <c r="W115" s="77"/>
      <c r="X115" s="77"/>
      <c r="Y115" s="77"/>
      <c r="Z115" s="77"/>
    </row>
    <row r="116" spans="1:26" ht="108" hidden="1" customHeight="1" thickBot="1" x14ac:dyDescent="0.3">
      <c r="A116" s="76" t="s">
        <v>253</v>
      </c>
      <c r="B116" s="282" t="s">
        <v>87</v>
      </c>
      <c r="C116" s="79"/>
      <c r="D116" s="166"/>
      <c r="E116" s="293" t="s">
        <v>121</v>
      </c>
      <c r="F116" s="294"/>
      <c r="G116" s="207" t="str">
        <f>VLOOKUP($A116&amp;G$1,Table_Answers[],2,FALSE)</f>
        <v>Ikke relevant</v>
      </c>
      <c r="H116" s="178" t="str">
        <f>VLOOKUP($A116&amp;H$1,Table_Answers[],2,FALSE)</f>
        <v>Ikke relevant</v>
      </c>
      <c r="I116" s="188" t="str">
        <f>VLOOKUP($A116&amp;I$1,Table_Answers[],2,FALSE)</f>
        <v>Ikke relevant</v>
      </c>
      <c r="J116" s="178" t="str">
        <f>VLOOKUP($A116&amp;J$1,Table_Answers[],2,FALSE)</f>
        <v>Ikke relevant</v>
      </c>
      <c r="K116" s="208" t="str">
        <f>VLOOKUP($A116&amp;K$1,Table_Answers[],2,FALSE)</f>
        <v>Ikke relevant</v>
      </c>
      <c r="L116" s="257"/>
      <c r="M116" s="165" t="s">
        <v>208</v>
      </c>
      <c r="N116" s="250" t="s">
        <v>167</v>
      </c>
      <c r="O116" s="163"/>
      <c r="P116" s="79"/>
      <c r="Q116" s="77"/>
      <c r="R116" s="77"/>
      <c r="S116" s="77"/>
      <c r="T116" s="77"/>
      <c r="U116" s="77"/>
      <c r="V116" s="77"/>
      <c r="W116" s="77"/>
      <c r="X116" s="77"/>
      <c r="Y116" s="77"/>
      <c r="Z116" s="77"/>
    </row>
    <row r="117" spans="1:26" ht="16.5" hidden="1" thickBot="1" x14ac:dyDescent="0.3">
      <c r="A117" s="76" t="s">
        <v>439</v>
      </c>
      <c r="B117" s="282"/>
      <c r="C117" s="79"/>
      <c r="E117" s="92"/>
      <c r="F117" s="48"/>
      <c r="G117" s="24"/>
      <c r="H117" s="24"/>
      <c r="I117" s="24"/>
      <c r="J117" s="24"/>
      <c r="K117" s="93" t="str">
        <f>N118</f>
        <v xml:space="preserve">Indsæt evt. interne bemærkninger som begrundelser for vurderingen. </v>
      </c>
      <c r="L117" s="93"/>
      <c r="M117" s="93"/>
      <c r="N117" s="93"/>
      <c r="O117" s="163"/>
      <c r="P117" s="79"/>
      <c r="Q117" s="77"/>
      <c r="R117" s="77"/>
      <c r="S117" s="77"/>
      <c r="T117" s="77"/>
      <c r="U117" s="77"/>
      <c r="V117" s="77"/>
      <c r="W117" s="77"/>
      <c r="X117" s="77"/>
      <c r="Y117" s="77"/>
      <c r="Z117" s="77"/>
    </row>
    <row r="118" spans="1:26" ht="71.25" customHeight="1" thickBot="1" x14ac:dyDescent="0.3">
      <c r="A118" s="76" t="s">
        <v>440</v>
      </c>
      <c r="B118" s="282" t="s">
        <v>426</v>
      </c>
      <c r="C118" s="79"/>
      <c r="E118" s="238"/>
      <c r="F118" s="298" t="str">
        <f>"Spg. 5.2: "&amp;"Med afsæt i din organisations vurdering af væsentligheden af de forskellige udsagn, hvordan vurderer du samlet set modenheden af "&amp;E101&amp;"?"</f>
        <v>Spg. 5.2: Med afsæt i din organisations vurdering af væsentligheden af de forskellige udsagn, hvordan vurderer du samlet set modenheden af Drift ?</v>
      </c>
      <c r="G118" s="298"/>
      <c r="H118" s="298"/>
      <c r="I118" s="298"/>
      <c r="J118" s="298"/>
      <c r="K118" s="298"/>
      <c r="L118" s="274"/>
      <c r="M118" s="201" t="s">
        <v>167</v>
      </c>
      <c r="N118" s="250" t="s">
        <v>389</v>
      </c>
      <c r="O118" s="276">
        <f>IFERROR(IF(MATCH(M118,Table_Spørgeramme[Spørgeramme],0)-1&gt;0,2,0),0)</f>
        <v>0</v>
      </c>
      <c r="P118" s="79"/>
      <c r="Q118" s="77"/>
      <c r="R118" s="77"/>
      <c r="S118" s="318" t="s">
        <v>460</v>
      </c>
      <c r="T118" s="319"/>
      <c r="U118" s="319"/>
      <c r="V118" s="319"/>
      <c r="W118" s="319"/>
      <c r="X118" s="320"/>
      <c r="Y118" s="77"/>
      <c r="Z118" s="77"/>
    </row>
    <row r="119" spans="1:26" ht="56.25" customHeight="1" thickBot="1" x14ac:dyDescent="0.3">
      <c r="A119" s="76" t="s">
        <v>441</v>
      </c>
      <c r="B119" s="282" t="s">
        <v>427</v>
      </c>
      <c r="C119" s="79"/>
      <c r="L119" s="271"/>
      <c r="M119" s="201" t="s">
        <v>7</v>
      </c>
      <c r="N119" s="272" t="s">
        <v>391</v>
      </c>
      <c r="O119" s="163"/>
      <c r="P119" s="79"/>
      <c r="Q119" s="77"/>
      <c r="R119" s="77"/>
      <c r="S119" s="321"/>
      <c r="T119" s="322"/>
      <c r="U119" s="322"/>
      <c r="V119" s="322"/>
      <c r="W119" s="322"/>
      <c r="X119" s="323"/>
      <c r="Y119" s="77"/>
      <c r="Z119" s="77"/>
    </row>
    <row r="120" spans="1:26" ht="17.45" customHeight="1" x14ac:dyDescent="0.25">
      <c r="A120" s="76" t="s">
        <v>439</v>
      </c>
      <c r="B120" s="282"/>
      <c r="C120" s="79"/>
      <c r="D120" s="79"/>
      <c r="E120" s="79"/>
      <c r="F120" s="79"/>
      <c r="G120" s="79"/>
      <c r="H120" s="79"/>
      <c r="I120" s="79"/>
      <c r="J120" s="79"/>
      <c r="K120" s="79"/>
      <c r="L120" s="79"/>
      <c r="M120" s="79"/>
      <c r="N120" s="79"/>
      <c r="O120" s="278"/>
      <c r="P120" s="79"/>
      <c r="Q120" s="77"/>
      <c r="R120" s="77"/>
      <c r="S120" s="77"/>
      <c r="T120" s="77"/>
      <c r="U120" s="77"/>
      <c r="V120" s="77"/>
      <c r="W120" s="77"/>
      <c r="X120" s="77"/>
      <c r="Y120" s="77"/>
      <c r="Z120" s="77"/>
    </row>
    <row r="121" spans="1:26" ht="21" customHeight="1" x14ac:dyDescent="0.25">
      <c r="A121" s="76" t="s">
        <v>442</v>
      </c>
      <c r="B121" s="282"/>
      <c r="C121" s="79"/>
      <c r="D121" s="73" t="str">
        <f>COUNTA($D$2:$D120)&amp;"."</f>
        <v>6.</v>
      </c>
      <c r="E121" s="74" t="str">
        <f>VLOOKUP(D121,Table_Questions[#All],2,FALSE)</f>
        <v>Evaluering</v>
      </c>
      <c r="F121" s="83"/>
      <c r="G121" s="74" t="s">
        <v>371</v>
      </c>
      <c r="H121" s="83"/>
      <c r="I121" s="83"/>
      <c r="J121" s="83"/>
      <c r="K121" s="83"/>
      <c r="L121" s="83"/>
      <c r="M121" s="83"/>
      <c r="N121" s="83"/>
      <c r="O121" s="280"/>
      <c r="P121" s="79"/>
      <c r="Q121" s="77"/>
      <c r="R121" s="77"/>
      <c r="S121" s="77"/>
      <c r="T121" s="77"/>
      <c r="U121" s="77"/>
      <c r="V121" s="77"/>
      <c r="W121" s="77"/>
      <c r="X121" s="77"/>
      <c r="Y121" s="77"/>
      <c r="Z121" s="77"/>
    </row>
    <row r="122" spans="1:26" ht="27.75" customHeight="1" x14ac:dyDescent="0.3">
      <c r="A122" s="76" t="s">
        <v>442</v>
      </c>
      <c r="B122" s="282"/>
      <c r="C122" s="79"/>
      <c r="E122" s="300" t="s">
        <v>315</v>
      </c>
      <c r="F122" s="300"/>
      <c r="G122" s="300"/>
      <c r="H122" s="300"/>
      <c r="I122" s="300"/>
      <c r="J122" s="300"/>
      <c r="K122" s="300"/>
      <c r="P122" s="79"/>
      <c r="Q122" s="77"/>
      <c r="R122" s="77"/>
      <c r="S122" s="77"/>
      <c r="T122" s="77"/>
      <c r="U122" s="77"/>
      <c r="V122" s="77"/>
      <c r="W122" s="77"/>
      <c r="X122" s="77"/>
      <c r="Y122" s="77"/>
      <c r="Z122" s="77"/>
    </row>
    <row r="123" spans="1:26" ht="18.600000000000001" customHeight="1" x14ac:dyDescent="0.25">
      <c r="A123" s="76" t="s">
        <v>442</v>
      </c>
      <c r="B123" s="282"/>
      <c r="C123" s="79"/>
      <c r="E123" s="295" t="str">
        <f>VLOOKUP(D121,Table_Questions[],3,FALSE)</f>
        <v>Det er vigtigt systematisk at evaluere og følge op på implementeringen af ISMS’et. Organisationens modenhed kan eksempelvis vurderes ud fra følgende elementer:
• Der er eksempelvis processer, hvor det besluttes, hvad der skal overvåges og måles, og hvem der skal gøre det.
• Resultaterne af overvågning og måling bliver analyseret mhp. at bidrage til evaluering af det samlede ISMS.
• Med planlagte intervaller gennemføres interne audits med fokus på at sikre den røde tråd mellem ISO27001, organisationens egne krav og organisationens efterlevelse af kravene.
• Ledelsen gennemgår evalueringen af ISMS’et mhp. at vurdere ledelsessystemets egnethed og tilstrækkelighed, eksempelvis på et møde ifm. årsafslutningen.
Hent mere vejledning under ”Evaluering og forbedring” på sikkerdigital.dk.</v>
      </c>
      <c r="F123" s="295"/>
      <c r="G123" s="295"/>
      <c r="H123" s="295"/>
      <c r="I123" s="295"/>
      <c r="J123" s="295"/>
      <c r="K123" s="295"/>
      <c r="L123" s="168"/>
      <c r="M123" s="139"/>
      <c r="N123" s="138"/>
      <c r="P123" s="79"/>
      <c r="Q123" s="77"/>
      <c r="R123" s="77"/>
      <c r="S123" s="77"/>
      <c r="T123" s="77"/>
      <c r="U123" s="77"/>
      <c r="V123" s="77"/>
      <c r="W123" s="77"/>
      <c r="X123" s="77"/>
      <c r="Y123" s="77"/>
      <c r="Z123" s="77"/>
    </row>
    <row r="124" spans="1:26" ht="18" customHeight="1" x14ac:dyDescent="0.25">
      <c r="A124" s="76" t="s">
        <v>442</v>
      </c>
      <c r="B124" s="282"/>
      <c r="C124" s="79"/>
      <c r="E124" s="296"/>
      <c r="F124" s="296"/>
      <c r="G124" s="296"/>
      <c r="H124" s="296"/>
      <c r="I124" s="296"/>
      <c r="J124" s="296"/>
      <c r="K124" s="296"/>
      <c r="L124" s="168"/>
      <c r="M124" s="139"/>
      <c r="N124" s="138"/>
      <c r="P124" s="79"/>
      <c r="Q124" s="77"/>
      <c r="R124" s="77"/>
      <c r="S124" s="77"/>
      <c r="T124" s="77"/>
      <c r="U124" s="77"/>
      <c r="V124" s="77"/>
      <c r="W124" s="77"/>
      <c r="X124" s="77"/>
      <c r="Y124" s="77"/>
      <c r="Z124" s="77"/>
    </row>
    <row r="125" spans="1:26" ht="16.899999999999999" customHeight="1" x14ac:dyDescent="0.25">
      <c r="A125" s="76" t="s">
        <v>442</v>
      </c>
      <c r="B125" s="282"/>
      <c r="C125" s="79"/>
      <c r="E125" s="296"/>
      <c r="F125" s="296"/>
      <c r="G125" s="296"/>
      <c r="H125" s="296"/>
      <c r="I125" s="296"/>
      <c r="J125" s="296"/>
      <c r="K125" s="296"/>
      <c r="L125" s="168"/>
      <c r="M125" s="139"/>
      <c r="N125" s="138"/>
      <c r="O125" s="163"/>
      <c r="P125" s="79"/>
      <c r="Q125" s="77"/>
      <c r="R125" s="77"/>
      <c r="S125" s="77"/>
      <c r="T125" s="77"/>
      <c r="U125" s="77"/>
      <c r="V125" s="77"/>
      <c r="W125" s="77"/>
      <c r="X125" s="77"/>
      <c r="Y125" s="77"/>
      <c r="Z125" s="77"/>
    </row>
    <row r="126" spans="1:26" ht="101.25" customHeight="1" x14ac:dyDescent="0.25">
      <c r="A126" s="76" t="s">
        <v>442</v>
      </c>
      <c r="B126" s="282"/>
      <c r="C126" s="79"/>
      <c r="E126" s="297"/>
      <c r="F126" s="297"/>
      <c r="G126" s="297"/>
      <c r="H126" s="297"/>
      <c r="I126" s="297"/>
      <c r="J126" s="297"/>
      <c r="K126" s="297"/>
      <c r="L126" s="168"/>
      <c r="M126" s="139"/>
      <c r="N126" s="138"/>
      <c r="O126" s="163"/>
      <c r="P126" s="79"/>
      <c r="Q126" s="77"/>
      <c r="R126" s="77"/>
      <c r="S126" s="77"/>
      <c r="T126" s="77"/>
      <c r="U126" s="77"/>
      <c r="V126" s="77"/>
      <c r="W126" s="77"/>
      <c r="X126" s="77"/>
      <c r="Y126" s="77"/>
      <c r="Z126" s="77"/>
    </row>
    <row r="127" spans="1:26" ht="39" customHeight="1" x14ac:dyDescent="0.25">
      <c r="A127" s="76" t="s">
        <v>442</v>
      </c>
      <c r="B127" s="282"/>
      <c r="C127" s="79"/>
      <c r="E127" s="187" t="str">
        <f>"Spg. 6.1: "&amp;VLOOKUP(D121,Table_Questions[#All],4,FALSE)</f>
        <v>Spg. 6.1: Hvordan vurderer du organisationens modenhed i forhold til nedenstående udsagn?</v>
      </c>
      <c r="F127" s="89"/>
      <c r="K127" s="24"/>
      <c r="L127" s="24"/>
      <c r="M127" s="24"/>
      <c r="N127" s="24"/>
      <c r="O127" s="163"/>
      <c r="P127" s="79"/>
      <c r="Q127" s="77"/>
      <c r="R127" s="77"/>
      <c r="S127" s="77"/>
      <c r="T127" s="77"/>
      <c r="U127" s="77"/>
      <c r="V127" s="77"/>
      <c r="W127" s="77"/>
      <c r="X127" s="77"/>
      <c r="Y127" s="77"/>
      <c r="Z127" s="77"/>
    </row>
    <row r="128" spans="1:26" ht="14.45" customHeight="1" x14ac:dyDescent="0.25">
      <c r="A128" s="76" t="s">
        <v>442</v>
      </c>
      <c r="B128" s="282"/>
      <c r="C128" s="79"/>
      <c r="O128" s="163"/>
      <c r="P128" s="79"/>
      <c r="Q128" s="77"/>
      <c r="R128" s="77"/>
      <c r="S128" s="77"/>
      <c r="T128" s="77"/>
      <c r="U128" s="77"/>
      <c r="V128" s="77"/>
      <c r="W128" s="77"/>
      <c r="X128" s="77"/>
      <c r="Y128" s="77"/>
      <c r="Z128" s="77"/>
    </row>
    <row r="129" spans="1:26" ht="16.149999999999999" customHeight="1" x14ac:dyDescent="0.3">
      <c r="A129" s="76" t="s">
        <v>442</v>
      </c>
      <c r="B129" s="282"/>
      <c r="C129" s="79"/>
      <c r="E129" s="198" t="str">
        <f>S_Lookupsheet!$BC$2</f>
        <v>Vælg dit svar til højre for matricen</v>
      </c>
      <c r="O129" s="163"/>
      <c r="P129" s="79"/>
      <c r="Q129" s="77"/>
      <c r="R129" s="77"/>
      <c r="S129" s="77"/>
      <c r="T129" s="77"/>
      <c r="U129" s="77"/>
      <c r="V129" s="77"/>
      <c r="W129" s="77"/>
      <c r="X129" s="77"/>
      <c r="Y129" s="77"/>
      <c r="Z129" s="77"/>
    </row>
    <row r="130" spans="1:26" ht="23.45" customHeight="1" thickBot="1" x14ac:dyDescent="0.3">
      <c r="A130" s="76" t="s">
        <v>442</v>
      </c>
      <c r="B130" s="282"/>
      <c r="C130" s="79"/>
      <c r="G130" s="90" t="s">
        <v>4</v>
      </c>
      <c r="H130" s="90" t="s">
        <v>5</v>
      </c>
      <c r="I130" s="90" t="s">
        <v>6</v>
      </c>
      <c r="J130" s="90" t="s">
        <v>7</v>
      </c>
      <c r="K130" s="90" t="s">
        <v>14</v>
      </c>
      <c r="L130" s="90"/>
      <c r="M130" s="90" t="s">
        <v>168</v>
      </c>
      <c r="N130" s="90" t="s">
        <v>388</v>
      </c>
      <c r="P130" s="79"/>
      <c r="Q130" s="77"/>
      <c r="R130" s="77"/>
      <c r="S130" s="77"/>
      <c r="T130" s="77"/>
      <c r="U130" s="77"/>
      <c r="V130" s="77"/>
      <c r="W130" s="77"/>
      <c r="X130" s="77"/>
      <c r="Y130" s="77"/>
      <c r="Z130" s="77"/>
    </row>
    <row r="131" spans="1:26" ht="110.25" customHeight="1" thickBot="1" x14ac:dyDescent="0.3">
      <c r="A131" s="76" t="s">
        <v>254</v>
      </c>
      <c r="B131" s="282" t="s">
        <v>76</v>
      </c>
      <c r="C131" s="79"/>
      <c r="D131" s="91"/>
      <c r="E131" s="288" t="s">
        <v>401</v>
      </c>
      <c r="F131" s="288"/>
      <c r="G131" s="204" t="str">
        <f>VLOOKUP($A131&amp;G$1,Table_Answers[],2,FALSE)</f>
        <v>Ad hoc</v>
      </c>
      <c r="H131" s="205" t="str">
        <f>VLOOKUP($A131&amp;H$1,Table_Answers[],2,FALSE)</f>
        <v>Gentaget</v>
      </c>
      <c r="I131" s="205" t="str">
        <f>VLOOKUP($A131&amp;I$1,Table_Answers[],2,FALSE)</f>
        <v>Procesunderstøttet</v>
      </c>
      <c r="J131" s="205" t="str">
        <f>VLOOKUP($A131&amp;J$1,Table_Answers[],2,FALSE)</f>
        <v>Styret og målbar</v>
      </c>
      <c r="K131" s="188" t="str">
        <f>VLOOKUP($A131&amp;K$1,Table_Answers[],2,FALSE)</f>
        <v>Optimeret</v>
      </c>
      <c r="L131" s="257"/>
      <c r="M131" s="165" t="s">
        <v>167</v>
      </c>
      <c r="N131" s="250" t="s">
        <v>389</v>
      </c>
      <c r="O131" s="163">
        <f>IF(K131="Ikke relevant",5,IF(_xlfn.IFNA(VLOOKUP(A131,MasterTable[[Spørgsmål]:[Aktuelt niveau - kvalitetsstyringsprincip]],3,FALSE),0)&gt;0,1,0))</f>
        <v>0</v>
      </c>
      <c r="P131" s="79"/>
      <c r="Q131" s="77"/>
      <c r="R131" s="77"/>
      <c r="S131" s="77"/>
      <c r="T131" s="77"/>
      <c r="U131" s="77"/>
      <c r="V131" s="77"/>
      <c r="W131" s="77"/>
      <c r="X131" s="77"/>
      <c r="Y131" s="77"/>
      <c r="Z131" s="77"/>
    </row>
    <row r="132" spans="1:26" ht="96.75" customHeight="1" thickBot="1" x14ac:dyDescent="0.3">
      <c r="A132" s="76" t="s">
        <v>255</v>
      </c>
      <c r="B132" s="282" t="s">
        <v>77</v>
      </c>
      <c r="C132" s="79"/>
      <c r="E132" s="288" t="s">
        <v>464</v>
      </c>
      <c r="F132" s="288"/>
      <c r="G132" s="207" t="str">
        <f>VLOOKUP($A132&amp;G$1,Table_Answers[],2,FALSE)</f>
        <v>Ad hoc</v>
      </c>
      <c r="H132" s="178" t="str">
        <f>VLOOKUP($A132&amp;H$1,Table_Answers[],2,FALSE)</f>
        <v>Gentaget</v>
      </c>
      <c r="I132" s="188" t="str">
        <f>VLOOKUP($A132&amp;I$1,Table_Answers[],2,FALSE)</f>
        <v>Procesunderstøttet</v>
      </c>
      <c r="J132" s="178" t="str">
        <f>VLOOKUP($A132&amp;J$1,Table_Answers[],2,FALSE)</f>
        <v>Styret og målbar</v>
      </c>
      <c r="K132" s="208" t="str">
        <f>VLOOKUP($A132&amp;K$1,Table_Answers[],2,FALSE)</f>
        <v>Optimeret</v>
      </c>
      <c r="L132" s="258"/>
      <c r="M132" s="165" t="s">
        <v>167</v>
      </c>
      <c r="N132" s="250" t="s">
        <v>389</v>
      </c>
      <c r="O132" s="163">
        <f>IF(K132="Ikke relevant",5,IF(_xlfn.IFNA(VLOOKUP(A132,MasterTable[[Spørgsmål]:[Aktuelt niveau - kvalitetsstyringsprincip]],3,FALSE),0)&gt;0,1,0))</f>
        <v>0</v>
      </c>
      <c r="P132" s="79"/>
      <c r="Q132" s="77"/>
      <c r="R132" s="77"/>
      <c r="S132" s="77"/>
      <c r="T132" s="77"/>
      <c r="U132" s="77"/>
      <c r="V132" s="77"/>
      <c r="W132" s="77"/>
      <c r="X132" s="77"/>
      <c r="Y132" s="77"/>
      <c r="Z132" s="77"/>
    </row>
    <row r="133" spans="1:26" ht="103.5" customHeight="1" thickBot="1" x14ac:dyDescent="0.3">
      <c r="A133" s="76" t="s">
        <v>256</v>
      </c>
      <c r="B133" s="282" t="s">
        <v>78</v>
      </c>
      <c r="C133" s="79"/>
      <c r="E133" s="288" t="s">
        <v>465</v>
      </c>
      <c r="F133" s="288"/>
      <c r="G133" s="207" t="str">
        <f>VLOOKUP($A133&amp;G$1,Table_Answers[],2,FALSE)</f>
        <v>Ad hoc</v>
      </c>
      <c r="H133" s="188" t="str">
        <f>VLOOKUP($A133&amp;H$1,Table_Answers[],2,FALSE)</f>
        <v>Gentaget</v>
      </c>
      <c r="I133" s="178" t="str">
        <f>VLOOKUP($A133&amp;I$1,Table_Answers[],2,FALSE)</f>
        <v>Procesunderstøttet</v>
      </c>
      <c r="J133" s="178" t="str">
        <f>VLOOKUP($A133&amp;J$1,Table_Answers[],2,FALSE)</f>
        <v>Styret og målbar</v>
      </c>
      <c r="K133" s="208" t="str">
        <f>VLOOKUP($A133&amp;K$1,Table_Answers[],2,FALSE)</f>
        <v>Optimeret</v>
      </c>
      <c r="L133" s="258"/>
      <c r="M133" s="165" t="s">
        <v>167</v>
      </c>
      <c r="N133" s="250" t="s">
        <v>389</v>
      </c>
      <c r="O133" s="163">
        <f>IF(K133="Ikke relevant",5,IF(_xlfn.IFNA(VLOOKUP(A133,MasterTable[[Spørgsmål]:[Aktuelt niveau - kvalitetsstyringsprincip]],3,FALSE),0)&gt;0,1,0))</f>
        <v>0</v>
      </c>
      <c r="P133" s="79"/>
      <c r="Q133" s="77"/>
      <c r="R133" s="77"/>
      <c r="S133" s="77"/>
      <c r="T133" s="77"/>
      <c r="U133" s="77"/>
      <c r="V133" s="77"/>
      <c r="W133" s="77"/>
      <c r="X133" s="77"/>
      <c r="Y133" s="77"/>
      <c r="Z133" s="77"/>
    </row>
    <row r="134" spans="1:26" ht="286.5" customHeight="1" thickBot="1" x14ac:dyDescent="0.3">
      <c r="A134" s="76" t="s">
        <v>257</v>
      </c>
      <c r="B134" s="282" t="s">
        <v>85</v>
      </c>
      <c r="C134" s="79"/>
      <c r="D134" s="166"/>
      <c r="E134" s="293" t="s">
        <v>400</v>
      </c>
      <c r="F134" s="294"/>
      <c r="G134" s="209" t="str">
        <f>VLOOKUP($A134&amp;G$1,Table_Answers[],2,FALSE)</f>
        <v>Ad hoc</v>
      </c>
      <c r="H134" s="194" t="str">
        <f>VLOOKUP($A134&amp;H$1,Table_Answers[],2,FALSE)</f>
        <v>Gentaget</v>
      </c>
      <c r="I134" s="209" t="str">
        <f>VLOOKUP($A134&amp;I$1,Table_Answers[],2,FALSE)</f>
        <v>Procesunderstøttet</v>
      </c>
      <c r="J134" s="196" t="str">
        <f>VLOOKUP($A134&amp;J$1,Table_Answers[],2,FALSE)</f>
        <v>Styret og målbar</v>
      </c>
      <c r="K134" s="210" t="str">
        <f>VLOOKUP($A134&amp;K$1,Table_Answers[],2,FALSE)</f>
        <v>Optimeret</v>
      </c>
      <c r="L134" s="256"/>
      <c r="M134" s="165" t="s">
        <v>167</v>
      </c>
      <c r="N134" s="250" t="s">
        <v>389</v>
      </c>
      <c r="O134" s="167">
        <f>IF(K134="Ikke relevant",5,IF(_xlfn.IFNA(VLOOKUP(A134,MasterTable[[Spørgsmål]:[Aktuelt niveau - kvalitetsstyringsprincip]],3,FALSE),0)&gt;0,1,0))</f>
        <v>0</v>
      </c>
      <c r="P134" s="79"/>
      <c r="Q134" s="77"/>
      <c r="R134" s="77"/>
      <c r="S134" s="77"/>
      <c r="T134" s="77"/>
      <c r="U134" s="77"/>
      <c r="V134" s="77"/>
      <c r="W134" s="77"/>
      <c r="X134" s="77"/>
      <c r="Y134" s="77"/>
      <c r="Z134" s="77"/>
    </row>
    <row r="135" spans="1:26" ht="143.25" hidden="1" customHeight="1" thickBot="1" x14ac:dyDescent="0.3">
      <c r="A135" s="76" t="s">
        <v>258</v>
      </c>
      <c r="B135" s="282" t="s">
        <v>86</v>
      </c>
      <c r="C135" s="79"/>
      <c r="D135" s="166"/>
      <c r="E135" s="293" t="s">
        <v>120</v>
      </c>
      <c r="F135" s="294"/>
      <c r="G135" s="209" t="str">
        <f>VLOOKUP($A135&amp;G$1,Table_Answers[],2,FALSE)</f>
        <v>Ikke relevant</v>
      </c>
      <c r="H135" s="194" t="str">
        <f>VLOOKUP($A135&amp;H$1,Table_Answers[],2,FALSE)</f>
        <v>Ikke relevant</v>
      </c>
      <c r="I135" s="209" t="str">
        <f>VLOOKUP($A135&amp;I$1,Table_Answers[],2,FALSE)</f>
        <v>Ikke relevant</v>
      </c>
      <c r="J135" s="196" t="str">
        <f>VLOOKUP($A135&amp;J$1,Table_Answers[],2,FALSE)</f>
        <v>Ikke relevant</v>
      </c>
      <c r="K135" s="210" t="str">
        <f>VLOOKUP($A135&amp;K$1,Table_Answers[],2,FALSE)</f>
        <v>Ikke relevant</v>
      </c>
      <c r="L135" s="256"/>
      <c r="M135" s="165"/>
      <c r="N135" s="250" t="s">
        <v>167</v>
      </c>
      <c r="O135" s="167"/>
      <c r="P135" s="79"/>
      <c r="Q135" s="77"/>
      <c r="R135" s="77"/>
      <c r="S135" s="77"/>
      <c r="T135" s="77"/>
      <c r="U135" s="77"/>
      <c r="V135" s="77"/>
      <c r="W135" s="77"/>
      <c r="X135" s="77"/>
      <c r="Y135" s="77"/>
      <c r="Z135" s="77"/>
    </row>
    <row r="136" spans="1:26" ht="144" hidden="1" customHeight="1" thickBot="1" x14ac:dyDescent="0.3">
      <c r="A136" s="76" t="s">
        <v>259</v>
      </c>
      <c r="B136" s="282" t="s">
        <v>87</v>
      </c>
      <c r="C136" s="79"/>
      <c r="D136" s="166"/>
      <c r="E136" s="293" t="s">
        <v>121</v>
      </c>
      <c r="F136" s="294"/>
      <c r="G136" s="209" t="str">
        <f>VLOOKUP($A136&amp;G$1,Table_Answers[],2,FALSE)</f>
        <v>Ikke relevant</v>
      </c>
      <c r="H136" s="194" t="str">
        <f>VLOOKUP($A136&amp;H$1,Table_Answers[],2,FALSE)</f>
        <v>Ikke relevant</v>
      </c>
      <c r="I136" s="209" t="str">
        <f>VLOOKUP($A136&amp;I$1,Table_Answers[],2,FALSE)</f>
        <v>Ikke relevant</v>
      </c>
      <c r="J136" s="196" t="str">
        <f>VLOOKUP($A136&amp;J$1,Table_Answers[],2,FALSE)</f>
        <v>Ikke relevant</v>
      </c>
      <c r="K136" s="210" t="str">
        <f>VLOOKUP($A136&amp;K$1,Table_Answers[],2,FALSE)</f>
        <v>Ikke relevant</v>
      </c>
      <c r="L136" s="256"/>
      <c r="M136" s="165"/>
      <c r="N136" s="250" t="s">
        <v>123</v>
      </c>
      <c r="O136" s="167"/>
      <c r="P136" s="79"/>
      <c r="Q136" s="77"/>
      <c r="Z136" s="77"/>
    </row>
    <row r="137" spans="1:26" ht="16.5" hidden="1" thickBot="1" x14ac:dyDescent="0.3">
      <c r="A137" s="76" t="s">
        <v>442</v>
      </c>
      <c r="B137" s="282"/>
      <c r="C137" s="79"/>
      <c r="E137" s="92"/>
      <c r="F137" s="48"/>
      <c r="G137" s="24"/>
      <c r="H137" s="24"/>
      <c r="I137" s="24"/>
      <c r="J137" s="24"/>
      <c r="K137" s="93" t="str">
        <f>N138</f>
        <v xml:space="preserve">Indsæt evt. interne bemærkninger som begrundelser for vurderingen. </v>
      </c>
      <c r="L137" s="93"/>
      <c r="M137" s="93"/>
      <c r="N137" s="93"/>
      <c r="O137" s="163"/>
      <c r="P137" s="79"/>
      <c r="Q137" s="77"/>
      <c r="Z137" s="77"/>
    </row>
    <row r="138" spans="1:26" ht="68.25" customHeight="1" thickBot="1" x14ac:dyDescent="0.3">
      <c r="A138" s="76" t="s">
        <v>443</v>
      </c>
      <c r="B138" s="282" t="s">
        <v>426</v>
      </c>
      <c r="C138" s="79"/>
      <c r="E138" s="238"/>
      <c r="F138" s="298" t="str">
        <f>"Spg. 6.2: "&amp;"Med afsæt i din organisations vurdering af væsentligheden af de forskellige udsagn hvordan vurderer du samlet set modenheden af "&amp;E121&amp;"?"</f>
        <v>Spg. 6.2: Med afsæt i din organisations vurdering af væsentligheden af de forskellige udsagn hvordan vurderer du samlet set modenheden af Evaluering?</v>
      </c>
      <c r="G138" s="298"/>
      <c r="H138" s="298"/>
      <c r="I138" s="298"/>
      <c r="J138" s="298"/>
      <c r="K138" s="298"/>
      <c r="L138" s="299"/>
      <c r="M138" s="201" t="s">
        <v>167</v>
      </c>
      <c r="N138" s="250" t="s">
        <v>389</v>
      </c>
      <c r="O138" s="276">
        <f>IFERROR(IF(MATCH(M138,Table_Spørgeramme[Spørgeramme],0)-1&gt;0,2,0),0)</f>
        <v>0</v>
      </c>
      <c r="P138" s="79"/>
      <c r="Q138" s="77"/>
      <c r="R138" s="77"/>
      <c r="S138" s="318" t="s">
        <v>460</v>
      </c>
      <c r="T138" s="319"/>
      <c r="U138" s="319"/>
      <c r="V138" s="319"/>
      <c r="W138" s="319"/>
      <c r="X138" s="320"/>
      <c r="Y138" s="77"/>
      <c r="Z138" s="77"/>
    </row>
    <row r="139" spans="1:26" ht="56.25" customHeight="1" thickBot="1" x14ac:dyDescent="0.3">
      <c r="A139" s="76" t="s">
        <v>444</v>
      </c>
      <c r="B139" s="282" t="s">
        <v>427</v>
      </c>
      <c r="C139" s="79"/>
      <c r="L139" s="271"/>
      <c r="M139" s="201" t="s">
        <v>7</v>
      </c>
      <c r="N139" s="272" t="s">
        <v>391</v>
      </c>
      <c r="O139" s="163"/>
      <c r="P139" s="79"/>
      <c r="Q139" s="77"/>
      <c r="R139" s="77"/>
      <c r="S139" s="321"/>
      <c r="T139" s="322"/>
      <c r="U139" s="322"/>
      <c r="V139" s="322"/>
      <c r="W139" s="322"/>
      <c r="X139" s="323"/>
      <c r="Y139" s="77"/>
      <c r="Z139" s="77"/>
    </row>
    <row r="140" spans="1:26" ht="17.45" customHeight="1" x14ac:dyDescent="0.25">
      <c r="A140" s="76" t="s">
        <v>442</v>
      </c>
      <c r="B140" s="282"/>
      <c r="C140" s="79"/>
      <c r="D140" s="79"/>
      <c r="E140" s="79"/>
      <c r="F140" s="79"/>
      <c r="G140" s="79"/>
      <c r="H140" s="79"/>
      <c r="I140" s="79"/>
      <c r="J140" s="79"/>
      <c r="K140" s="79"/>
      <c r="L140" s="79"/>
      <c r="M140" s="79"/>
      <c r="N140" s="79"/>
      <c r="O140" s="278"/>
      <c r="P140" s="79"/>
      <c r="Q140" s="77"/>
      <c r="R140" s="77"/>
      <c r="S140" s="77"/>
      <c r="T140" s="77"/>
      <c r="U140" s="77"/>
      <c r="V140" s="77"/>
      <c r="W140" s="77"/>
      <c r="X140" s="77"/>
      <c r="Y140" s="77"/>
      <c r="Z140" s="77"/>
    </row>
    <row r="141" spans="1:26" ht="21" customHeight="1" x14ac:dyDescent="0.25">
      <c r="A141" s="76" t="s">
        <v>445</v>
      </c>
      <c r="B141" s="282"/>
      <c r="C141" s="79"/>
      <c r="D141" s="73" t="str">
        <f>COUNTA($D$2:$D140)&amp;"."</f>
        <v>7.</v>
      </c>
      <c r="E141" s="74" t="str">
        <f>VLOOKUP(D141,Table_Questions[#All],2,FALSE)</f>
        <v>Løbende forbedringer</v>
      </c>
      <c r="F141" s="83"/>
      <c r="G141" s="74" t="s">
        <v>372</v>
      </c>
      <c r="H141" s="83"/>
      <c r="I141" s="83"/>
      <c r="J141" s="83"/>
      <c r="K141" s="83"/>
      <c r="L141" s="83"/>
      <c r="M141" s="83"/>
      <c r="N141" s="83"/>
      <c r="O141" s="280"/>
      <c r="P141" s="79"/>
      <c r="Q141" s="77"/>
      <c r="R141" s="77"/>
      <c r="S141" s="77"/>
      <c r="T141" s="77"/>
      <c r="U141" s="77"/>
      <c r="V141" s="77"/>
      <c r="W141" s="77"/>
      <c r="X141" s="77"/>
      <c r="Y141" s="77"/>
      <c r="Z141" s="77"/>
    </row>
    <row r="142" spans="1:26" ht="33.75" customHeight="1" x14ac:dyDescent="0.3">
      <c r="A142" s="76" t="s">
        <v>445</v>
      </c>
      <c r="B142" s="282"/>
      <c r="C142" s="79"/>
      <c r="E142" s="300" t="s">
        <v>315</v>
      </c>
      <c r="F142" s="300"/>
      <c r="G142" s="300"/>
      <c r="H142" s="300"/>
      <c r="I142" s="300"/>
      <c r="J142" s="300"/>
      <c r="K142" s="300"/>
      <c r="P142" s="79"/>
      <c r="Q142" s="77"/>
      <c r="R142" s="77"/>
      <c r="S142" s="77"/>
      <c r="T142" s="77"/>
      <c r="U142" s="77"/>
      <c r="V142" s="77"/>
      <c r="W142" s="77"/>
      <c r="X142" s="77"/>
      <c r="Y142" s="77"/>
      <c r="Z142" s="77"/>
    </row>
    <row r="143" spans="1:26" ht="18.600000000000001" customHeight="1" x14ac:dyDescent="0.25">
      <c r="A143" s="76" t="s">
        <v>445</v>
      </c>
      <c r="B143" s="282"/>
      <c r="C143" s="79"/>
      <c r="E143" s="295" t="str">
        <f>VLOOKUP(D141,Table_Questions[],3,FALSE)</f>
        <v>I forlængelse af evalueringen bør prioriterede forbedringer implementeres. Organisationens modenhed kan eksempelvis vurderes ud fra følgende elementer:
• Topledelsen forholder sig til identificerede forbedringer af ISMS’et, som er identificeret under ”Evaluering”. 
• Der følges op på forbedringstiltagene, eksempelvis ved jævnlig afrapportering på ledelsesmøder. 
Hent mere vejledning under ”Evaluering og forbedring” på sikkerdigital.dk.</v>
      </c>
      <c r="F143" s="295"/>
      <c r="G143" s="295"/>
      <c r="H143" s="295"/>
      <c r="I143" s="295"/>
      <c r="J143" s="295"/>
      <c r="K143" s="295"/>
      <c r="L143" s="168"/>
      <c r="M143" s="139"/>
      <c r="N143" s="138"/>
      <c r="P143" s="79"/>
      <c r="Q143" s="77"/>
      <c r="R143" s="77"/>
      <c r="S143" s="77"/>
      <c r="T143" s="77"/>
      <c r="U143" s="77"/>
      <c r="V143" s="77"/>
      <c r="W143" s="77"/>
      <c r="X143" s="77"/>
      <c r="Y143" s="77"/>
      <c r="Z143" s="77"/>
    </row>
    <row r="144" spans="1:26" ht="18" customHeight="1" x14ac:dyDescent="0.25">
      <c r="A144" s="76" t="s">
        <v>445</v>
      </c>
      <c r="B144" s="282"/>
      <c r="C144" s="79"/>
      <c r="E144" s="296"/>
      <c r="F144" s="296"/>
      <c r="G144" s="296"/>
      <c r="H144" s="296"/>
      <c r="I144" s="296"/>
      <c r="J144" s="296"/>
      <c r="K144" s="296"/>
      <c r="L144" s="168"/>
      <c r="M144" s="139"/>
      <c r="N144" s="138"/>
      <c r="P144" s="79"/>
      <c r="Q144" s="77"/>
      <c r="R144" s="77"/>
      <c r="S144" s="77"/>
      <c r="T144" s="77"/>
      <c r="U144" s="77"/>
      <c r="V144" s="77"/>
      <c r="W144" s="77"/>
      <c r="X144" s="77"/>
      <c r="Y144" s="77"/>
      <c r="Z144" s="77"/>
    </row>
    <row r="145" spans="1:26" ht="16.899999999999999" customHeight="1" x14ac:dyDescent="0.25">
      <c r="A145" s="76" t="s">
        <v>445</v>
      </c>
      <c r="B145" s="282"/>
      <c r="C145" s="79"/>
      <c r="E145" s="296"/>
      <c r="F145" s="296"/>
      <c r="G145" s="296"/>
      <c r="H145" s="296"/>
      <c r="I145" s="296"/>
      <c r="J145" s="296"/>
      <c r="K145" s="296"/>
      <c r="L145" s="168"/>
      <c r="M145" s="139"/>
      <c r="N145" s="138"/>
      <c r="O145" s="163"/>
      <c r="P145" s="79"/>
      <c r="Q145" s="77"/>
      <c r="R145" s="77"/>
      <c r="S145" s="77"/>
      <c r="T145" s="77"/>
      <c r="U145" s="77"/>
      <c r="V145" s="77"/>
      <c r="W145" s="77"/>
      <c r="X145" s="77"/>
      <c r="Y145" s="77"/>
      <c r="Z145" s="77"/>
    </row>
    <row r="146" spans="1:26" ht="44.25" customHeight="1" x14ac:dyDescent="0.25">
      <c r="A146" s="76" t="s">
        <v>445</v>
      </c>
      <c r="B146" s="282"/>
      <c r="C146" s="79"/>
      <c r="E146" s="297"/>
      <c r="F146" s="297"/>
      <c r="G146" s="297"/>
      <c r="H146" s="297"/>
      <c r="I146" s="297"/>
      <c r="J146" s="297"/>
      <c r="K146" s="297"/>
      <c r="L146" s="168"/>
      <c r="M146" s="139"/>
      <c r="N146" s="138"/>
      <c r="O146" s="163"/>
      <c r="P146" s="79"/>
      <c r="Q146" s="77"/>
      <c r="R146" s="77"/>
      <c r="S146" s="77"/>
      <c r="T146" s="77"/>
      <c r="U146" s="77"/>
      <c r="V146" s="77"/>
      <c r="W146" s="77"/>
      <c r="X146" s="77"/>
      <c r="Y146" s="77"/>
      <c r="Z146" s="77"/>
    </row>
    <row r="147" spans="1:26" ht="24.75" customHeight="1" x14ac:dyDescent="0.35">
      <c r="A147" s="76" t="s">
        <v>445</v>
      </c>
      <c r="B147" s="282"/>
      <c r="C147" s="79"/>
      <c r="E147" s="200" t="str">
        <f>"Spg. 7.1: "&amp;VLOOKUP(D141,Table_Questions[#All],4,FALSE)</f>
        <v>Spg. 7.1: Hvordan vurderer du organisationens modenhed i forhold til nedenstående udsagn?</v>
      </c>
      <c r="F147" s="89"/>
      <c r="K147" s="24"/>
      <c r="L147" s="24"/>
      <c r="M147" s="24"/>
      <c r="N147" s="24"/>
      <c r="O147" s="163"/>
      <c r="P147" s="79"/>
      <c r="Q147" s="77"/>
      <c r="R147" s="77"/>
      <c r="S147" s="77"/>
      <c r="T147" s="77"/>
      <c r="U147" s="77"/>
      <c r="V147" s="77"/>
      <c r="W147" s="77"/>
      <c r="X147" s="77"/>
      <c r="Y147" s="77"/>
      <c r="Z147" s="77"/>
    </row>
    <row r="148" spans="1:26" ht="14.45" customHeight="1" x14ac:dyDescent="0.25">
      <c r="A148" s="76" t="s">
        <v>445</v>
      </c>
      <c r="B148" s="282"/>
      <c r="C148" s="79"/>
      <c r="O148" s="163"/>
      <c r="P148" s="79"/>
      <c r="Q148" s="77"/>
      <c r="R148" s="77"/>
      <c r="S148" s="77"/>
      <c r="T148" s="77"/>
      <c r="U148" s="77"/>
      <c r="V148" s="77"/>
      <c r="W148" s="77"/>
      <c r="X148" s="77"/>
      <c r="Y148" s="77"/>
      <c r="Z148" s="77"/>
    </row>
    <row r="149" spans="1:26" ht="16.149999999999999" customHeight="1" x14ac:dyDescent="0.3">
      <c r="A149" s="76" t="s">
        <v>445</v>
      </c>
      <c r="B149" s="282"/>
      <c r="C149" s="79"/>
      <c r="E149" s="198" t="str">
        <f>S_Lookupsheet!$BC$2</f>
        <v>Vælg dit svar til højre for matricen</v>
      </c>
      <c r="O149" s="163"/>
      <c r="P149" s="79"/>
      <c r="Q149" s="77"/>
      <c r="R149" s="77"/>
      <c r="S149" s="77"/>
      <c r="T149" s="77"/>
      <c r="U149" s="77"/>
      <c r="V149" s="77"/>
      <c r="W149" s="77"/>
      <c r="X149" s="77"/>
      <c r="Y149" s="77"/>
      <c r="Z149" s="77"/>
    </row>
    <row r="150" spans="1:26" ht="23.45" customHeight="1" thickBot="1" x14ac:dyDescent="0.3">
      <c r="A150" s="76" t="s">
        <v>445</v>
      </c>
      <c r="B150" s="282"/>
      <c r="C150" s="79"/>
      <c r="G150" s="90" t="s">
        <v>4</v>
      </c>
      <c r="H150" s="90" t="s">
        <v>5</v>
      </c>
      <c r="I150" s="90" t="s">
        <v>6</v>
      </c>
      <c r="J150" s="90" t="s">
        <v>7</v>
      </c>
      <c r="K150" s="90" t="s">
        <v>14</v>
      </c>
      <c r="L150" s="90"/>
      <c r="M150" s="90" t="s">
        <v>168</v>
      </c>
      <c r="N150" s="90" t="s">
        <v>388</v>
      </c>
      <c r="P150" s="79"/>
      <c r="Q150" s="77"/>
      <c r="R150" s="77"/>
      <c r="S150" s="77"/>
      <c r="T150" s="77"/>
      <c r="U150" s="77"/>
      <c r="V150" s="77"/>
      <c r="W150" s="77"/>
      <c r="X150" s="77"/>
      <c r="Y150" s="77"/>
      <c r="Z150" s="77"/>
    </row>
    <row r="151" spans="1:26" ht="100.5" customHeight="1" thickBot="1" x14ac:dyDescent="0.3">
      <c r="A151" s="76" t="s">
        <v>260</v>
      </c>
      <c r="B151" s="282" t="s">
        <v>76</v>
      </c>
      <c r="C151" s="79"/>
      <c r="D151" s="91"/>
      <c r="E151" s="288" t="s">
        <v>468</v>
      </c>
      <c r="F151" s="288"/>
      <c r="G151" s="204" t="str">
        <f>VLOOKUP($A151&amp;G$1,Table_Answers[],2,FALSE)</f>
        <v>Ad hoc</v>
      </c>
      <c r="H151" s="205" t="str">
        <f>VLOOKUP($A151&amp;H$1,Table_Answers[],2,FALSE)</f>
        <v>Gentaget</v>
      </c>
      <c r="I151" s="205" t="str">
        <f>VLOOKUP($A151&amp;I$1,Table_Answers[],2,FALSE)</f>
        <v>Procesunderstøttet</v>
      </c>
      <c r="J151" s="188" t="str">
        <f>VLOOKUP($A151&amp;J$1,Table_Answers[],2,FALSE)</f>
        <v>Styret og målbar</v>
      </c>
      <c r="K151" s="206" t="str">
        <f>VLOOKUP($A151&amp;K$1,Table_Answers[],2,FALSE)</f>
        <v>Optimeret</v>
      </c>
      <c r="L151" s="257"/>
      <c r="M151" s="165" t="s">
        <v>167</v>
      </c>
      <c r="N151" s="250" t="s">
        <v>389</v>
      </c>
      <c r="O151" s="163">
        <f>IF(OR(K151="Ikke relevant",K151="Ikke angivet"),5,IF(_xlfn.IFNA(VLOOKUP(A151,MasterTable[[Spørgsmål]:[Aktuelt niveau - kvalitetsstyringsprincip]],3,FALSE),0)&gt;0,1,0))</f>
        <v>0</v>
      </c>
      <c r="P151" s="79"/>
      <c r="Q151" s="77"/>
      <c r="R151" s="77"/>
      <c r="S151" s="77"/>
      <c r="T151" s="77"/>
      <c r="U151" s="77"/>
      <c r="V151" s="77"/>
      <c r="W151" s="77"/>
      <c r="X151" s="77"/>
      <c r="Y151" s="77"/>
      <c r="Z151" s="77"/>
    </row>
    <row r="152" spans="1:26" ht="90" customHeight="1" thickBot="1" x14ac:dyDescent="0.3">
      <c r="A152" s="76" t="s">
        <v>261</v>
      </c>
      <c r="B152" s="282" t="s">
        <v>77</v>
      </c>
      <c r="C152" s="79"/>
      <c r="E152" s="293" t="s">
        <v>399</v>
      </c>
      <c r="F152" s="294"/>
      <c r="G152" s="209" t="str">
        <f>VLOOKUP($A152&amp;G$1,Table_Answers[],2,FALSE)</f>
        <v>Ad hoc</v>
      </c>
      <c r="H152" s="196" t="str">
        <f>VLOOKUP($A152&amp;H$1,Table_Answers[],2,FALSE)</f>
        <v>Gentaget</v>
      </c>
      <c r="I152" s="196" t="str">
        <f>VLOOKUP($A152&amp;I$1,Table_Answers[],2,FALSE)</f>
        <v>Procesunderstøttet</v>
      </c>
      <c r="J152" s="188" t="str">
        <f>VLOOKUP($A152&amp;J$1,Table_Answers[],2,FALSE)</f>
        <v>Styret og målbar</v>
      </c>
      <c r="K152" s="210" t="str">
        <f>VLOOKUP($A152&amp;K$1,Table_Answers[],2,FALSE)</f>
        <v>Optimeret</v>
      </c>
      <c r="L152" s="257"/>
      <c r="M152" s="165" t="s">
        <v>167</v>
      </c>
      <c r="N152" s="250" t="s">
        <v>389</v>
      </c>
      <c r="O152" s="163">
        <f>IF(OR(K152="Ikke relevant",K152="Ikke angivet"),5,IF(_xlfn.IFNA(VLOOKUP(A152,MasterTable[[Spørgsmål]:[Aktuelt niveau - kvalitetsstyringsprincip]],3,FALSE),0)&gt;0,1,0))</f>
        <v>0</v>
      </c>
      <c r="P152" s="79"/>
      <c r="Q152" s="77"/>
      <c r="R152" s="77"/>
      <c r="S152" s="77"/>
      <c r="T152" s="77"/>
      <c r="U152" s="77"/>
      <c r="V152" s="77"/>
      <c r="W152" s="77"/>
      <c r="X152" s="77"/>
      <c r="Y152" s="77"/>
      <c r="Z152" s="77"/>
    </row>
    <row r="153" spans="1:26" ht="117" hidden="1" customHeight="1" thickBot="1" x14ac:dyDescent="0.3">
      <c r="A153" s="76" t="s">
        <v>262</v>
      </c>
      <c r="B153" s="282" t="s">
        <v>78</v>
      </c>
      <c r="C153" s="79"/>
      <c r="E153" s="293" t="s">
        <v>118</v>
      </c>
      <c r="F153" s="294"/>
      <c r="G153" s="209" t="str">
        <f>VLOOKUP($A153&amp;G$1,Table_Answers[],2,FALSE)</f>
        <v>Ikke relevant</v>
      </c>
      <c r="H153" s="196" t="str">
        <f>VLOOKUP($A153&amp;H$1,Table_Answers[],2,FALSE)</f>
        <v>Ikke relevant</v>
      </c>
      <c r="I153" s="196" t="str">
        <f>VLOOKUP($A153&amp;I$1,Table_Answers[],2,FALSE)</f>
        <v>Ikke relevant</v>
      </c>
      <c r="J153" s="188" t="str">
        <f>VLOOKUP($A153&amp;J$1,Table_Answers[],2,FALSE)</f>
        <v>Ikke relevant</v>
      </c>
      <c r="K153" s="210" t="str">
        <f>VLOOKUP($A153&amp;K$1,Table_Answers[],2,FALSE)</f>
        <v>Ikke relevant</v>
      </c>
      <c r="L153" s="257"/>
      <c r="M153" s="165"/>
      <c r="N153" s="250" t="s">
        <v>167</v>
      </c>
      <c r="O153" s="163"/>
      <c r="P153" s="79"/>
      <c r="Q153" s="77"/>
      <c r="R153" s="77"/>
      <c r="S153" s="77"/>
      <c r="T153" s="77"/>
      <c r="U153" s="77"/>
      <c r="V153" s="77"/>
      <c r="W153" s="77"/>
      <c r="X153" s="77"/>
      <c r="Y153" s="77"/>
      <c r="Z153" s="77"/>
    </row>
    <row r="154" spans="1:26" ht="117" hidden="1" customHeight="1" thickBot="1" x14ac:dyDescent="0.3">
      <c r="A154" s="76" t="s">
        <v>263</v>
      </c>
      <c r="B154" s="282" t="s">
        <v>85</v>
      </c>
      <c r="C154" s="79"/>
      <c r="E154" s="293" t="s">
        <v>119</v>
      </c>
      <c r="F154" s="294"/>
      <c r="G154" s="209" t="str">
        <f>VLOOKUP($A154&amp;G$1,Table_Answers[],2,FALSE)</f>
        <v>Ikke relevant</v>
      </c>
      <c r="H154" s="196" t="str">
        <f>VLOOKUP($A154&amp;H$1,Table_Answers[],2,FALSE)</f>
        <v>Ikke relevant</v>
      </c>
      <c r="I154" s="196" t="str">
        <f>VLOOKUP($A154&amp;I$1,Table_Answers[],2,FALSE)</f>
        <v>Ikke relevant</v>
      </c>
      <c r="J154" s="188" t="str">
        <f>VLOOKUP($A154&amp;J$1,Table_Answers[],2,FALSE)</f>
        <v>Ikke relevant</v>
      </c>
      <c r="K154" s="210" t="str">
        <f>VLOOKUP($A154&amp;K$1,Table_Answers[],2,FALSE)</f>
        <v>Ikke relevant</v>
      </c>
      <c r="L154" s="257"/>
      <c r="M154" s="165"/>
      <c r="N154" s="250" t="s">
        <v>167</v>
      </c>
      <c r="O154" s="163"/>
      <c r="P154" s="79"/>
      <c r="Q154" s="77"/>
      <c r="R154" s="77"/>
      <c r="S154" s="77"/>
      <c r="T154" s="77"/>
      <c r="U154" s="77"/>
      <c r="V154" s="77"/>
      <c r="W154" s="77"/>
      <c r="X154" s="77"/>
      <c r="Y154" s="77"/>
      <c r="Z154" s="77"/>
    </row>
    <row r="155" spans="1:26" ht="117" hidden="1" customHeight="1" thickBot="1" x14ac:dyDescent="0.3">
      <c r="A155" s="76" t="s">
        <v>264</v>
      </c>
      <c r="B155" s="282" t="s">
        <v>86</v>
      </c>
      <c r="C155" s="79"/>
      <c r="E155" s="293" t="s">
        <v>120</v>
      </c>
      <c r="F155" s="294"/>
      <c r="G155" s="209" t="str">
        <f>VLOOKUP($A155&amp;G$1,Table_Answers[],2,FALSE)</f>
        <v>Ikke relevant</v>
      </c>
      <c r="H155" s="196" t="str">
        <f>VLOOKUP($A155&amp;H$1,Table_Answers[],2,FALSE)</f>
        <v>Ikke relevant</v>
      </c>
      <c r="I155" s="196" t="str">
        <f>VLOOKUP($A155&amp;I$1,Table_Answers[],2,FALSE)</f>
        <v>Ikke relevant</v>
      </c>
      <c r="J155" s="188" t="str">
        <f>VLOOKUP($A155&amp;J$1,Table_Answers[],2,FALSE)</f>
        <v>Ikke relevant</v>
      </c>
      <c r="K155" s="210" t="str">
        <f>VLOOKUP($A155&amp;K$1,Table_Answers[],2,FALSE)</f>
        <v>Ikke relevant</v>
      </c>
      <c r="L155" s="257"/>
      <c r="M155" s="165"/>
      <c r="N155" s="250" t="s">
        <v>167</v>
      </c>
      <c r="O155" s="163"/>
      <c r="P155" s="79"/>
      <c r="Q155" s="77"/>
      <c r="R155" s="77"/>
      <c r="S155" s="77"/>
      <c r="T155" s="77"/>
      <c r="U155" s="77"/>
      <c r="V155" s="77"/>
      <c r="W155" s="77"/>
      <c r="X155" s="77"/>
      <c r="Y155" s="77"/>
      <c r="Z155" s="77"/>
    </row>
    <row r="156" spans="1:26" ht="117" hidden="1" customHeight="1" thickBot="1" x14ac:dyDescent="0.3">
      <c r="A156" s="76" t="s">
        <v>265</v>
      </c>
      <c r="B156" s="282" t="s">
        <v>87</v>
      </c>
      <c r="C156" s="79"/>
      <c r="E156" s="293" t="s">
        <v>121</v>
      </c>
      <c r="F156" s="294"/>
      <c r="G156" s="209" t="str">
        <f>VLOOKUP($A156&amp;G$1,Table_Answers[],2,FALSE)</f>
        <v>Ikke relevant</v>
      </c>
      <c r="H156" s="196" t="str">
        <f>VLOOKUP($A156&amp;H$1,Table_Answers[],2,FALSE)</f>
        <v>Ikke relevant</v>
      </c>
      <c r="I156" s="196" t="str">
        <f>VLOOKUP($A156&amp;I$1,Table_Answers[],2,FALSE)</f>
        <v>Ikke relevant</v>
      </c>
      <c r="J156" s="188" t="str">
        <f>VLOOKUP($A156&amp;J$1,Table_Answers[],2,FALSE)</f>
        <v>Ikke relevant</v>
      </c>
      <c r="K156" s="210" t="str">
        <f>VLOOKUP($A156&amp;K$1,Table_Answers[],2,FALSE)</f>
        <v>Ikke relevant</v>
      </c>
      <c r="L156" s="257"/>
      <c r="M156" s="165"/>
      <c r="N156" s="250" t="s">
        <v>167</v>
      </c>
      <c r="O156" s="163"/>
      <c r="P156" s="79"/>
      <c r="Q156" s="77"/>
      <c r="R156" s="77"/>
      <c r="S156" s="77" t="str">
        <f>"✴ "&amp;"Med afsæt i din organisations vurdering af væsentligheden af de forskellige kvalitetsprincipper, hvordan vurderer du samlet set modenheden af "&amp;E141&amp;"?"</f>
        <v>✴ Med afsæt i din organisations vurdering af væsentligheden af de forskellige kvalitetsprincipper, hvordan vurderer du samlet set modenheden af Løbende forbedringer?</v>
      </c>
      <c r="T156" s="77"/>
      <c r="U156" s="77"/>
      <c r="V156" s="77"/>
      <c r="W156" s="77"/>
      <c r="X156" s="77"/>
      <c r="Y156" s="77"/>
      <c r="Z156" s="77"/>
    </row>
    <row r="157" spans="1:26" ht="15.75" hidden="1" customHeight="1" thickBot="1" x14ac:dyDescent="0.3">
      <c r="A157" s="76" t="s">
        <v>445</v>
      </c>
      <c r="B157" s="282"/>
      <c r="C157" s="79"/>
      <c r="E157" s="92"/>
      <c r="F157" s="48"/>
      <c r="G157" s="24"/>
      <c r="H157" s="24"/>
      <c r="I157" s="24"/>
      <c r="J157" s="24"/>
      <c r="K157" s="93" t="str">
        <f>N158</f>
        <v xml:space="preserve">Indsæt evt. interne bemærkninger som begrundelser for vurderingen. </v>
      </c>
      <c r="L157" s="93"/>
      <c r="M157" s="93"/>
      <c r="N157" s="93"/>
      <c r="O157" s="163"/>
      <c r="P157" s="79"/>
      <c r="Q157" s="77"/>
      <c r="R157" s="77"/>
      <c r="S157" s="77"/>
      <c r="T157" s="77"/>
      <c r="U157" s="77"/>
      <c r="V157" s="77"/>
      <c r="W157" s="77"/>
      <c r="X157" s="77"/>
      <c r="Y157" s="77"/>
      <c r="Z157" s="77"/>
    </row>
    <row r="158" spans="1:26" ht="79.5" customHeight="1" thickBot="1" x14ac:dyDescent="0.3">
      <c r="A158" s="76" t="s">
        <v>446</v>
      </c>
      <c r="B158" s="282" t="s">
        <v>426</v>
      </c>
      <c r="C158" s="79"/>
      <c r="E158" s="238"/>
      <c r="F158" s="298" t="str">
        <f>"Spg. 7.2: "&amp;"Med afsæt i din organisations vurdering af væsentligheden af de forskellige udsagn, hvordan vurderer du samlet set modenheden af "&amp;E141&amp;"?"</f>
        <v>Spg. 7.2: Med afsæt i din organisations vurdering af væsentligheden af de forskellige udsagn, hvordan vurderer du samlet set modenheden af Løbende forbedringer?</v>
      </c>
      <c r="G158" s="298"/>
      <c r="H158" s="298"/>
      <c r="I158" s="298"/>
      <c r="J158" s="298"/>
      <c r="K158" s="298"/>
      <c r="L158" s="274"/>
      <c r="M158" s="201" t="s">
        <v>167</v>
      </c>
      <c r="N158" s="250" t="s">
        <v>389</v>
      </c>
      <c r="O158" s="276">
        <f>IFERROR(IF(MATCH(M158,Table_Spørgeramme[Spørgeramme],0)-1&gt;0,2,0),0)</f>
        <v>0</v>
      </c>
      <c r="P158" s="79"/>
      <c r="Q158" s="77"/>
      <c r="R158" s="77"/>
      <c r="S158" s="318" t="s">
        <v>460</v>
      </c>
      <c r="T158" s="319"/>
      <c r="U158" s="319"/>
      <c r="V158" s="319"/>
      <c r="W158" s="319"/>
      <c r="X158" s="320"/>
      <c r="Y158" s="77"/>
      <c r="Z158" s="77"/>
    </row>
    <row r="159" spans="1:26" ht="58.5" customHeight="1" thickBot="1" x14ac:dyDescent="0.3">
      <c r="A159" s="76" t="s">
        <v>447</v>
      </c>
      <c r="B159" s="282" t="s">
        <v>427</v>
      </c>
      <c r="C159" s="79"/>
      <c r="L159" s="271"/>
      <c r="M159" s="201" t="s">
        <v>7</v>
      </c>
      <c r="N159" s="272" t="s">
        <v>391</v>
      </c>
      <c r="O159" s="163"/>
      <c r="P159" s="79"/>
      <c r="Q159" s="77"/>
      <c r="R159" s="77"/>
      <c r="S159" s="321"/>
      <c r="T159" s="322"/>
      <c r="U159" s="322"/>
      <c r="V159" s="322"/>
      <c r="W159" s="322"/>
      <c r="X159" s="323"/>
      <c r="Y159" s="77"/>
      <c r="Z159" s="77"/>
    </row>
    <row r="160" spans="1:26" ht="17.25" customHeight="1" x14ac:dyDescent="0.25">
      <c r="A160" s="76" t="s">
        <v>445</v>
      </c>
      <c r="B160" s="282"/>
      <c r="C160" s="79"/>
      <c r="D160" s="79"/>
      <c r="E160" s="79"/>
      <c r="F160" s="79"/>
      <c r="G160" s="79"/>
      <c r="H160" s="79"/>
      <c r="I160" s="79"/>
      <c r="J160" s="79"/>
      <c r="K160" s="79"/>
      <c r="L160" s="79"/>
      <c r="M160" s="79"/>
      <c r="N160" s="79"/>
      <c r="O160" s="278"/>
      <c r="P160" s="79"/>
      <c r="Q160" s="77"/>
      <c r="R160" s="77"/>
      <c r="S160" s="77"/>
      <c r="T160" s="77"/>
      <c r="U160" s="77"/>
      <c r="V160" s="77"/>
      <c r="W160" s="77"/>
      <c r="X160" s="77"/>
      <c r="Y160" s="77"/>
      <c r="Z160" s="77"/>
    </row>
    <row r="161" spans="1:26" ht="21" customHeight="1" x14ac:dyDescent="0.25">
      <c r="A161" s="76" t="s">
        <v>448</v>
      </c>
      <c r="B161" s="282"/>
      <c r="C161" s="79"/>
      <c r="D161" s="73" t="str">
        <f>COUNTA($D$2:$D160)&amp;"."</f>
        <v>8.</v>
      </c>
      <c r="E161" s="74" t="str">
        <f>VLOOKUP(D161,Table_Questions[#All],2,FALSE)</f>
        <v>Leverandørstyring</v>
      </c>
      <c r="F161" s="83"/>
      <c r="G161" s="74" t="s">
        <v>319</v>
      </c>
      <c r="H161" s="83"/>
      <c r="I161" s="83"/>
      <c r="J161" s="83"/>
      <c r="K161" s="83"/>
      <c r="L161" s="83"/>
      <c r="M161" s="83"/>
      <c r="N161" s="83"/>
      <c r="O161" s="280"/>
      <c r="P161" s="79"/>
      <c r="Q161" s="77"/>
      <c r="R161" s="77"/>
      <c r="S161" s="77"/>
      <c r="T161" s="77"/>
      <c r="U161" s="77"/>
      <c r="V161" s="77"/>
      <c r="W161" s="77"/>
      <c r="X161" s="77"/>
      <c r="Y161" s="77"/>
      <c r="Z161" s="77"/>
    </row>
    <row r="162" spans="1:26" ht="27.75" customHeight="1" x14ac:dyDescent="0.3">
      <c r="A162" s="76" t="s">
        <v>448</v>
      </c>
      <c r="B162" s="282"/>
      <c r="C162" s="79"/>
      <c r="E162" s="300" t="s">
        <v>315</v>
      </c>
      <c r="F162" s="300"/>
      <c r="G162" s="300"/>
      <c r="H162" s="300"/>
      <c r="I162" s="300"/>
      <c r="J162" s="300"/>
      <c r="K162" s="300"/>
      <c r="P162" s="79"/>
      <c r="Q162" s="77"/>
      <c r="R162" s="77"/>
      <c r="S162" s="77"/>
      <c r="T162" s="77"/>
      <c r="U162" s="77"/>
      <c r="V162" s="77"/>
      <c r="W162" s="77"/>
      <c r="X162" s="77"/>
      <c r="Y162" s="77"/>
      <c r="Z162" s="77"/>
    </row>
    <row r="163" spans="1:26" ht="18.600000000000001" customHeight="1" x14ac:dyDescent="0.25">
      <c r="A163" s="76" t="s">
        <v>448</v>
      </c>
      <c r="B163" s="282"/>
      <c r="C163" s="79"/>
      <c r="E163" s="295" t="str">
        <f>VLOOKUP(D161,Table_Questions[],3,FALSE)</f>
        <v>Ved outsourcing afgives en del af kontrollen med informationer. Det er derfor vigtigt at sikre et højt sikkerhedsniveau. Organisationens modenhed kan eksempelvis vurderes ud fra følgende elementer:  
• Der eksisterer eksempelvis en oversigt over outsourcede processer og systemer.
• Informationssikkerhedskrav indgår i kontrakter og samarbejdsaftaler med leverandører og samarbejdspartnere.
• Der føres tilsyn med leverandørernes efterlevelse af informationssikkerhedskravene, eksempelvis gennem indhentning af revisionserklæringer, auditeringer og tests.
• Der følges op på resultaterne af auditeringer og tests.  
• Der er løbende dialog om sikkerhed med organisationens leverandører, eksempelvis gennem jævnlige møder, hvor sikkerhed er på dagsordenen.
Hent mere vejledning under ”leverandørstyring” på sikkerdigital.dk/myndighed.</v>
      </c>
      <c r="F163" s="295"/>
      <c r="G163" s="295"/>
      <c r="H163" s="295"/>
      <c r="I163" s="295"/>
      <c r="J163" s="295"/>
      <c r="K163" s="295"/>
      <c r="L163" s="168"/>
      <c r="M163" s="147"/>
      <c r="N163" s="147"/>
      <c r="P163" s="79"/>
      <c r="Q163" s="77"/>
      <c r="R163" s="77"/>
      <c r="S163" s="77"/>
      <c r="T163" s="77"/>
      <c r="U163" s="77"/>
      <c r="V163" s="77"/>
      <c r="W163" s="77"/>
      <c r="X163" s="77"/>
      <c r="Y163" s="77"/>
      <c r="Z163" s="77"/>
    </row>
    <row r="164" spans="1:26" ht="18" customHeight="1" x14ac:dyDescent="0.25">
      <c r="A164" s="76" t="s">
        <v>448</v>
      </c>
      <c r="B164" s="282"/>
      <c r="C164" s="79"/>
      <c r="E164" s="296"/>
      <c r="F164" s="296"/>
      <c r="G164" s="296"/>
      <c r="H164" s="296"/>
      <c r="I164" s="296"/>
      <c r="J164" s="296"/>
      <c r="K164" s="296"/>
      <c r="L164" s="168"/>
      <c r="M164" s="147"/>
      <c r="N164" s="147"/>
      <c r="P164" s="79"/>
      <c r="Q164" s="77"/>
      <c r="R164" s="77"/>
      <c r="S164" s="77"/>
      <c r="T164" s="77"/>
      <c r="U164" s="77"/>
      <c r="V164" s="77"/>
      <c r="W164" s="77"/>
      <c r="X164" s="77"/>
      <c r="Y164" s="77"/>
      <c r="Z164" s="77"/>
    </row>
    <row r="165" spans="1:26" ht="16.899999999999999" customHeight="1" x14ac:dyDescent="0.25">
      <c r="A165" s="76" t="s">
        <v>448</v>
      </c>
      <c r="B165" s="282"/>
      <c r="C165" s="79"/>
      <c r="E165" s="296"/>
      <c r="F165" s="296"/>
      <c r="G165" s="296"/>
      <c r="H165" s="296"/>
      <c r="I165" s="296"/>
      <c r="J165" s="296"/>
      <c r="K165" s="296"/>
      <c r="L165" s="168"/>
      <c r="M165" s="147"/>
      <c r="N165" s="147"/>
      <c r="O165" s="163"/>
      <c r="P165" s="79"/>
      <c r="Q165" s="77"/>
      <c r="R165" s="77"/>
      <c r="S165" s="77"/>
      <c r="T165" s="77"/>
      <c r="U165" s="77"/>
      <c r="V165" s="77"/>
      <c r="W165" s="77"/>
      <c r="X165" s="77"/>
      <c r="Y165" s="77"/>
      <c r="Z165" s="77"/>
    </row>
    <row r="166" spans="1:26" ht="142.5" customHeight="1" x14ac:dyDescent="0.25">
      <c r="A166" s="76" t="s">
        <v>448</v>
      </c>
      <c r="B166" s="282"/>
      <c r="C166" s="79"/>
      <c r="E166" s="297"/>
      <c r="F166" s="297"/>
      <c r="G166" s="297"/>
      <c r="H166" s="297"/>
      <c r="I166" s="297"/>
      <c r="J166" s="297"/>
      <c r="K166" s="297"/>
      <c r="L166" s="168"/>
      <c r="M166" s="147"/>
      <c r="N166" s="147"/>
      <c r="O166" s="163"/>
      <c r="P166" s="79"/>
      <c r="Q166" s="77"/>
      <c r="R166" s="77"/>
      <c r="S166" s="77"/>
      <c r="T166" s="77"/>
      <c r="U166" s="77"/>
      <c r="V166" s="77"/>
      <c r="W166" s="77"/>
      <c r="X166" s="77"/>
      <c r="Y166" s="77"/>
      <c r="Z166" s="77"/>
    </row>
    <row r="167" spans="1:26" ht="33.75" customHeight="1" x14ac:dyDescent="0.35">
      <c r="A167" s="76" t="s">
        <v>448</v>
      </c>
      <c r="B167" s="282"/>
      <c r="C167" s="79"/>
      <c r="E167" s="200" t="str">
        <f>"Spg. 8.1: "&amp;VLOOKUP(D161,Table_Questions[#All],4,FALSE)</f>
        <v>Spg. 8.1: Hvordan vurderer du organisationens modenhed i forhold til nedenstående udsagn?</v>
      </c>
      <c r="F167" s="89"/>
      <c r="K167" s="24"/>
      <c r="L167" s="24"/>
      <c r="M167" s="24"/>
      <c r="N167" s="24"/>
      <c r="O167" s="163"/>
      <c r="P167" s="79"/>
      <c r="Q167" s="77"/>
      <c r="R167" s="77"/>
      <c r="S167" s="77"/>
      <c r="T167" s="77"/>
      <c r="U167" s="77"/>
      <c r="V167" s="77"/>
      <c r="W167" s="77"/>
      <c r="X167" s="77"/>
      <c r="Y167" s="77"/>
      <c r="Z167" s="77"/>
    </row>
    <row r="168" spans="1:26" ht="14.45" customHeight="1" x14ac:dyDescent="0.25">
      <c r="A168" s="76" t="s">
        <v>448</v>
      </c>
      <c r="B168" s="282"/>
      <c r="C168" s="79"/>
      <c r="O168" s="163"/>
      <c r="P168" s="79"/>
      <c r="Q168" s="77"/>
      <c r="R168" s="77"/>
      <c r="S168" s="77"/>
      <c r="T168" s="77"/>
      <c r="U168" s="77"/>
      <c r="V168" s="77"/>
      <c r="W168" s="77"/>
      <c r="X168" s="77"/>
      <c r="Y168" s="77"/>
      <c r="Z168" s="77"/>
    </row>
    <row r="169" spans="1:26" ht="16.149999999999999" customHeight="1" x14ac:dyDescent="0.3">
      <c r="A169" s="76" t="s">
        <v>448</v>
      </c>
      <c r="B169" s="282"/>
      <c r="C169" s="79"/>
      <c r="E169" s="198" t="str">
        <f>S_Lookupsheet!$BC$2</f>
        <v>Vælg dit svar til højre for matricen</v>
      </c>
      <c r="O169" s="163"/>
      <c r="P169" s="79"/>
      <c r="Q169" s="77"/>
      <c r="R169" s="77"/>
      <c r="S169" s="77"/>
      <c r="T169" s="77"/>
      <c r="U169" s="77"/>
      <c r="V169" s="77"/>
      <c r="W169" s="77"/>
      <c r="X169" s="77"/>
      <c r="Y169" s="77"/>
      <c r="Z169" s="77"/>
    </row>
    <row r="170" spans="1:26" ht="23.45" customHeight="1" thickBot="1" x14ac:dyDescent="0.3">
      <c r="A170" s="76" t="s">
        <v>448</v>
      </c>
      <c r="B170" s="282"/>
      <c r="C170" s="79"/>
      <c r="G170" s="90" t="s">
        <v>4</v>
      </c>
      <c r="H170" s="90" t="s">
        <v>5</v>
      </c>
      <c r="I170" s="90" t="s">
        <v>6</v>
      </c>
      <c r="J170" s="90" t="s">
        <v>7</v>
      </c>
      <c r="K170" s="90" t="s">
        <v>14</v>
      </c>
      <c r="L170" s="262"/>
      <c r="M170" s="90" t="s">
        <v>168</v>
      </c>
      <c r="N170" s="90" t="s">
        <v>388</v>
      </c>
      <c r="P170" s="79"/>
      <c r="Q170" s="77"/>
      <c r="R170" s="77"/>
      <c r="S170" s="77"/>
      <c r="T170" s="77"/>
      <c r="U170" s="77"/>
      <c r="V170" s="77"/>
      <c r="W170" s="77"/>
      <c r="X170" s="77"/>
      <c r="Y170" s="77"/>
      <c r="Z170" s="77"/>
    </row>
    <row r="171" spans="1:26" ht="153" customHeight="1" thickBot="1" x14ac:dyDescent="0.3">
      <c r="A171" s="76" t="s">
        <v>266</v>
      </c>
      <c r="B171" s="282" t="s">
        <v>76</v>
      </c>
      <c r="C171" s="79"/>
      <c r="D171" s="91"/>
      <c r="E171" s="288" t="s">
        <v>320</v>
      </c>
      <c r="F171" s="288"/>
      <c r="G171" s="204" t="str">
        <f>VLOOKUP($A171&amp;G$1,Table_Answers[],2,FALSE)</f>
        <v>Ad hoc</v>
      </c>
      <c r="H171" s="205" t="str">
        <f>VLOOKUP($A171&amp;H$1,Table_Answers[],2,FALSE)</f>
        <v>Gentaget</v>
      </c>
      <c r="I171" s="205" t="str">
        <f>VLOOKUP($A171&amp;I$1,Table_Answers[],2,FALSE)</f>
        <v>Procesunderstøttet</v>
      </c>
      <c r="J171" s="188" t="str">
        <f>VLOOKUP($A171&amp;J$1,Table_Answers[],2,FALSE)</f>
        <v>Styret og målbar</v>
      </c>
      <c r="K171" s="206" t="str">
        <f>VLOOKUP($A171&amp;K$1,Table_Answers[],2,FALSE)</f>
        <v>Optimeret</v>
      </c>
      <c r="L171" s="258"/>
      <c r="M171" s="165" t="s">
        <v>167</v>
      </c>
      <c r="N171" s="250" t="s">
        <v>389</v>
      </c>
      <c r="O171" s="163">
        <f>IF(OR(K171="Ikke relevant",K171="Ikke angivet"),5,IF(_xlfn.IFNA(VLOOKUP(A171,MasterTable[[Spørgsmål]:[Aktuelt niveau - kvalitetsstyringsprincip]],3,FALSE),0)&gt;0,1,0))</f>
        <v>0</v>
      </c>
      <c r="P171" s="79"/>
      <c r="Q171" s="77"/>
      <c r="R171" s="77"/>
      <c r="S171" s="77"/>
      <c r="T171" s="77"/>
      <c r="U171" s="77"/>
      <c r="V171" s="77"/>
      <c r="W171" s="77"/>
      <c r="X171" s="77"/>
      <c r="Y171" s="77"/>
      <c r="Z171" s="77"/>
    </row>
    <row r="172" spans="1:26" ht="108" customHeight="1" thickBot="1" x14ac:dyDescent="0.3">
      <c r="A172" s="76" t="s">
        <v>267</v>
      </c>
      <c r="B172" s="282" t="s">
        <v>77</v>
      </c>
      <c r="C172" s="79"/>
      <c r="E172" s="288" t="s">
        <v>374</v>
      </c>
      <c r="F172" s="288"/>
      <c r="G172" s="207" t="str">
        <f>VLOOKUP($A172&amp;G$1,Table_Answers[],2,FALSE)</f>
        <v>Ad hoc</v>
      </c>
      <c r="H172" s="178" t="str">
        <f>VLOOKUP($A172&amp;H$1,Table_Answers[],2,FALSE)</f>
        <v>Gentaget</v>
      </c>
      <c r="I172" s="178" t="str">
        <f>VLOOKUP($A172&amp;I$1,Table_Answers[],2,FALSE)</f>
        <v>Procesunderstøttet</v>
      </c>
      <c r="J172" s="188" t="str">
        <f>VLOOKUP($A172&amp;J$1,Table_Answers[],2,FALSE)</f>
        <v>Styret og målbar</v>
      </c>
      <c r="K172" s="208" t="str">
        <f>VLOOKUP($A172&amp;K$1,Table_Answers[],2,FALSE)</f>
        <v>Optimeret</v>
      </c>
      <c r="L172" s="257"/>
      <c r="M172" s="165" t="s">
        <v>167</v>
      </c>
      <c r="N172" s="250" t="s">
        <v>389</v>
      </c>
      <c r="O172" s="163">
        <f>IF(OR(K172="Ikke relevant",K172="Ikke angivet"),5,IF(_xlfn.IFNA(VLOOKUP(A172,MasterTable[[Spørgsmål]:[Aktuelt niveau - kvalitetsstyringsprincip]],3,FALSE),0)&gt;0,1,0))</f>
        <v>0</v>
      </c>
      <c r="P172" s="79"/>
      <c r="Q172" s="77"/>
      <c r="R172" s="77"/>
      <c r="S172" s="77"/>
      <c r="T172" s="77"/>
      <c r="U172" s="77"/>
      <c r="V172" s="77"/>
      <c r="W172" s="77"/>
      <c r="X172" s="77"/>
      <c r="Y172" s="77"/>
      <c r="Z172" s="77"/>
    </row>
    <row r="173" spans="1:26" ht="135.75" customHeight="1" thickBot="1" x14ac:dyDescent="0.3">
      <c r="A173" s="76" t="s">
        <v>268</v>
      </c>
      <c r="B173" s="282" t="s">
        <v>78</v>
      </c>
      <c r="C173" s="79"/>
      <c r="E173" s="288" t="s">
        <v>375</v>
      </c>
      <c r="F173" s="288"/>
      <c r="G173" s="207" t="str">
        <f>VLOOKUP($A173&amp;G$1,Table_Answers[],2,FALSE)</f>
        <v>Ad hoc</v>
      </c>
      <c r="H173" s="178" t="str">
        <f>VLOOKUP($A173&amp;H$1,Table_Answers[],2,FALSE)</f>
        <v>Gentaget</v>
      </c>
      <c r="I173" s="178" t="str">
        <f>VLOOKUP($A173&amp;I$1,Table_Answers[],2,FALSE)</f>
        <v>Procesunderstøttet</v>
      </c>
      <c r="J173" s="178" t="str">
        <f>VLOOKUP($A173&amp;J$1,Table_Answers[],2,FALSE)</f>
        <v>Styret og målbar</v>
      </c>
      <c r="K173" s="188" t="str">
        <f>VLOOKUP($A173&amp;K$1,Table_Answers[],2,FALSE)</f>
        <v>Optimeret</v>
      </c>
      <c r="L173" s="257"/>
      <c r="M173" s="165" t="s">
        <v>167</v>
      </c>
      <c r="N173" s="250" t="s">
        <v>389</v>
      </c>
      <c r="O173" s="163">
        <f>IF(OR(K173="Ikke relevant",K173="Ikke angivet"),5,IF(_xlfn.IFNA(VLOOKUP(A173,MasterTable[[Spørgsmål]:[Aktuelt niveau - kvalitetsstyringsprincip]],3,FALSE),0)&gt;0,1,0))</f>
        <v>0</v>
      </c>
      <c r="P173" s="79"/>
      <c r="Q173" s="77"/>
      <c r="R173" s="77"/>
      <c r="S173" s="77"/>
      <c r="T173" s="77"/>
      <c r="U173" s="77"/>
      <c r="V173" s="77"/>
      <c r="W173" s="77"/>
      <c r="X173" s="77"/>
      <c r="Y173" s="77"/>
      <c r="Z173" s="77"/>
    </row>
    <row r="174" spans="1:26" ht="88.5" customHeight="1" thickBot="1" x14ac:dyDescent="0.3">
      <c r="A174" s="76" t="s">
        <v>269</v>
      </c>
      <c r="B174" s="282" t="s">
        <v>85</v>
      </c>
      <c r="C174" s="79"/>
      <c r="D174" s="166"/>
      <c r="E174" s="293" t="s">
        <v>321</v>
      </c>
      <c r="F174" s="294"/>
      <c r="G174" s="207" t="str">
        <f>VLOOKUP($A174&amp;G$1,Table_Answers[],2,FALSE)</f>
        <v>Ad hoc</v>
      </c>
      <c r="H174" s="178" t="str">
        <f>VLOOKUP($A174&amp;H$1,Table_Answers[],2,FALSE)</f>
        <v>Gentaget</v>
      </c>
      <c r="I174" s="188" t="str">
        <f>VLOOKUP($A174&amp;I$1,Table_Answers[],2,FALSE)</f>
        <v>Procesunderstøttet</v>
      </c>
      <c r="J174" s="178" t="str">
        <f>VLOOKUP($A174&amp;J$1,Table_Answers[],2,FALSE)</f>
        <v>Styret og målbar</v>
      </c>
      <c r="K174" s="208" t="str">
        <f>VLOOKUP($A174&amp;K$1,Table_Answers[],2,FALSE)</f>
        <v>Optimeret</v>
      </c>
      <c r="L174" s="257"/>
      <c r="M174" s="165" t="s">
        <v>167</v>
      </c>
      <c r="N174" s="250" t="s">
        <v>389</v>
      </c>
      <c r="O174" s="163">
        <f>IF(OR(K174="Ikke relevant",K174="Ikke angivet"),5,IF(_xlfn.IFNA(VLOOKUP(A174,MasterTable[[Spørgsmål]:[Aktuelt niveau - kvalitetsstyringsprincip]],3,FALSE),0)&gt;0,1,0))</f>
        <v>0</v>
      </c>
      <c r="P174" s="79"/>
      <c r="Q174" s="77"/>
      <c r="R174" s="77"/>
      <c r="S174" s="77"/>
      <c r="T174" s="77"/>
      <c r="U174" s="77"/>
      <c r="V174" s="77"/>
      <c r="W174" s="77"/>
      <c r="X174" s="77"/>
      <c r="Y174" s="77"/>
      <c r="Z174" s="77"/>
    </row>
    <row r="175" spans="1:26" ht="88.5" hidden="1" customHeight="1" thickBot="1" x14ac:dyDescent="0.3">
      <c r="A175" s="76" t="s">
        <v>270</v>
      </c>
      <c r="B175" s="282" t="s">
        <v>86</v>
      </c>
      <c r="C175" s="79"/>
      <c r="D175" s="166"/>
      <c r="E175" s="293" t="s">
        <v>120</v>
      </c>
      <c r="F175" s="294"/>
      <c r="G175" s="207" t="str">
        <f>VLOOKUP($A175&amp;G$1,Table_Answers[],2,FALSE)</f>
        <v>Ikke relevant</v>
      </c>
      <c r="H175" s="178" t="str">
        <f>VLOOKUP($A175&amp;H$1,Table_Answers[],2,FALSE)</f>
        <v>Ikke relevant</v>
      </c>
      <c r="I175" s="188" t="str">
        <f>VLOOKUP($A175&amp;I$1,Table_Answers[],2,FALSE)</f>
        <v>Ikke relevant</v>
      </c>
      <c r="J175" s="178" t="str">
        <f>VLOOKUP($A175&amp;J$1,Table_Answers[],2,FALSE)</f>
        <v>Ikke relevant</v>
      </c>
      <c r="K175" s="208" t="str">
        <f>VLOOKUP($A175&amp;K$1,Table_Answers[],2,FALSE)</f>
        <v>Ikke relevant</v>
      </c>
      <c r="L175" s="257"/>
      <c r="M175" s="165" t="s">
        <v>208</v>
      </c>
      <c r="N175" s="250" t="s">
        <v>167</v>
      </c>
      <c r="O175" s="163"/>
      <c r="P175" s="79"/>
      <c r="Q175" s="77"/>
      <c r="R175" s="77"/>
      <c r="S175" s="77"/>
      <c r="T175" s="77"/>
      <c r="U175" s="77"/>
      <c r="V175" s="77"/>
      <c r="W175" s="77"/>
      <c r="X175" s="77"/>
      <c r="Y175" s="77"/>
      <c r="Z175" s="77"/>
    </row>
    <row r="176" spans="1:26" ht="88.5" hidden="1" customHeight="1" thickBot="1" x14ac:dyDescent="0.3">
      <c r="A176" s="76" t="s">
        <v>271</v>
      </c>
      <c r="B176" s="282" t="s">
        <v>87</v>
      </c>
      <c r="C176" s="79"/>
      <c r="D176" s="166"/>
      <c r="E176" s="293" t="s">
        <v>121</v>
      </c>
      <c r="F176" s="294"/>
      <c r="G176" s="207" t="str">
        <f>VLOOKUP($A176&amp;G$1,Table_Answers[],2,FALSE)</f>
        <v>Ikke relevant</v>
      </c>
      <c r="H176" s="178" t="str">
        <f>VLOOKUP($A176&amp;H$1,Table_Answers[],2,FALSE)</f>
        <v>Ikke relevant</v>
      </c>
      <c r="I176" s="188" t="str">
        <f>VLOOKUP($A176&amp;I$1,Table_Answers[],2,FALSE)</f>
        <v>Ikke relevant</v>
      </c>
      <c r="J176" s="178" t="str">
        <f>VLOOKUP($A176&amp;J$1,Table_Answers[],2,FALSE)</f>
        <v>Ikke relevant</v>
      </c>
      <c r="K176" s="208" t="str">
        <f>VLOOKUP($A176&amp;K$1,Table_Answers[],2,FALSE)</f>
        <v>Ikke relevant</v>
      </c>
      <c r="L176" s="257"/>
      <c r="M176" s="165" t="s">
        <v>208</v>
      </c>
      <c r="N176" s="250" t="s">
        <v>167</v>
      </c>
      <c r="O176" s="163"/>
      <c r="P176" s="79"/>
      <c r="Q176" s="77"/>
      <c r="R176" s="77"/>
      <c r="S176" s="77"/>
      <c r="T176" s="77"/>
      <c r="U176" s="77"/>
      <c r="V176" s="77"/>
      <c r="W176" s="77"/>
      <c r="X176" s="77"/>
      <c r="Y176" s="77"/>
      <c r="Z176" s="77"/>
    </row>
    <row r="177" spans="1:26" ht="24" hidden="1" customHeight="1" thickBot="1" x14ac:dyDescent="0.3">
      <c r="A177" s="76" t="s">
        <v>448</v>
      </c>
      <c r="B177" s="282"/>
      <c r="C177" s="79"/>
      <c r="E177" s="92"/>
      <c r="F177" s="48"/>
      <c r="G177" s="24"/>
      <c r="H177" s="24"/>
      <c r="I177" s="24"/>
      <c r="J177" s="24"/>
      <c r="K177" s="93" t="str">
        <f>N178</f>
        <v xml:space="preserve">Indsæt evt. interne bemærkninger som begrundelser for vurderingen. </v>
      </c>
      <c r="L177" s="93"/>
      <c r="M177" s="93"/>
      <c r="N177" s="93"/>
      <c r="O177" s="163"/>
      <c r="P177" s="79"/>
      <c r="Q177" s="77"/>
      <c r="R177" s="77"/>
      <c r="S177" s="77"/>
      <c r="T177" s="77"/>
      <c r="U177" s="77"/>
      <c r="V177" s="77"/>
      <c r="W177" s="77"/>
      <c r="X177" s="77"/>
      <c r="Y177" s="77"/>
      <c r="Z177" s="77"/>
    </row>
    <row r="178" spans="1:26" ht="76.5" customHeight="1" thickBot="1" x14ac:dyDescent="0.3">
      <c r="A178" s="76" t="s">
        <v>449</v>
      </c>
      <c r="B178" s="282" t="s">
        <v>426</v>
      </c>
      <c r="C178" s="79"/>
      <c r="E178" s="239"/>
      <c r="F178" s="298" t="str">
        <f>"Spg. 8.2: "&amp;"Med afsæt i din organisations vurdering af væsentligheden af de forskellige udsagn, hvordan vurderer du samlet set modenheden af "&amp;E161&amp;"?"</f>
        <v>Spg. 8.2: Med afsæt i din organisations vurdering af væsentligheden af de forskellige udsagn, hvordan vurderer du samlet set modenheden af Leverandørstyring?</v>
      </c>
      <c r="G178" s="298"/>
      <c r="H178" s="298"/>
      <c r="I178" s="298"/>
      <c r="J178" s="298"/>
      <c r="K178" s="298"/>
      <c r="L178" s="274"/>
      <c r="M178" s="201" t="s">
        <v>167</v>
      </c>
      <c r="N178" s="250" t="s">
        <v>389</v>
      </c>
      <c r="O178" s="276">
        <f>IFERROR(IF(MATCH(M178,Table_Spørgeramme[Spørgeramme],0)-1&gt;0,2,0),0)</f>
        <v>0</v>
      </c>
      <c r="P178" s="79"/>
      <c r="Q178" s="77"/>
      <c r="R178" s="77"/>
      <c r="S178" s="318" t="s">
        <v>460</v>
      </c>
      <c r="T178" s="319"/>
      <c r="U178" s="319"/>
      <c r="V178" s="319"/>
      <c r="W178" s="319"/>
      <c r="X178" s="320"/>
      <c r="Y178" s="77"/>
      <c r="Z178" s="77"/>
    </row>
    <row r="179" spans="1:26" ht="56.25" customHeight="1" thickBot="1" x14ac:dyDescent="0.3">
      <c r="A179" s="76" t="s">
        <v>450</v>
      </c>
      <c r="B179" s="282" t="s">
        <v>427</v>
      </c>
      <c r="C179" s="79"/>
      <c r="L179" s="271"/>
      <c r="M179" s="201" t="s">
        <v>7</v>
      </c>
      <c r="N179" s="272" t="s">
        <v>391</v>
      </c>
      <c r="O179" s="163"/>
      <c r="P179" s="79"/>
      <c r="Q179" s="77"/>
      <c r="R179" s="77"/>
      <c r="S179" s="321"/>
      <c r="T179" s="322"/>
      <c r="U179" s="322"/>
      <c r="V179" s="322"/>
      <c r="W179" s="322"/>
      <c r="X179" s="323"/>
      <c r="Y179" s="77"/>
      <c r="Z179" s="77"/>
    </row>
    <row r="180" spans="1:26" ht="17.45" customHeight="1" x14ac:dyDescent="0.25">
      <c r="A180" s="76" t="s">
        <v>448</v>
      </c>
      <c r="B180" s="282"/>
      <c r="C180" s="79"/>
      <c r="D180" s="79"/>
      <c r="E180" s="79"/>
      <c r="F180" s="79"/>
      <c r="G180" s="79"/>
      <c r="H180" s="79"/>
      <c r="I180" s="79"/>
      <c r="J180" s="79"/>
      <c r="K180" s="79"/>
      <c r="L180" s="79"/>
      <c r="M180" s="79"/>
      <c r="N180" s="79"/>
      <c r="O180" s="278"/>
      <c r="P180" s="79"/>
      <c r="Q180" s="77"/>
      <c r="R180" s="77"/>
      <c r="S180" s="77"/>
      <c r="T180" s="77"/>
      <c r="U180" s="77"/>
      <c r="V180" s="77"/>
      <c r="W180" s="77"/>
      <c r="X180" s="77"/>
      <c r="Y180" s="77"/>
      <c r="Z180" s="77"/>
    </row>
    <row r="181" spans="1:26" ht="21" customHeight="1" x14ac:dyDescent="0.4">
      <c r="A181" s="76" t="s">
        <v>451</v>
      </c>
      <c r="B181" s="282"/>
      <c r="C181" s="79"/>
      <c r="D181" s="73" t="str">
        <f>COUNTA($D$2:$D180)&amp;"."</f>
        <v>9.</v>
      </c>
      <c r="E181" s="74" t="str">
        <f>VLOOKUP(D181,Table_Questions[#All],2,FALSE)</f>
        <v>Beredskabsplaner</v>
      </c>
      <c r="F181" s="83"/>
      <c r="G181" s="231" t="s">
        <v>373</v>
      </c>
      <c r="H181" s="83"/>
      <c r="I181" s="83"/>
      <c r="J181" s="83"/>
      <c r="K181" s="83"/>
      <c r="L181" s="83"/>
      <c r="M181" s="83"/>
      <c r="N181" s="83"/>
      <c r="O181" s="280"/>
      <c r="P181" s="79"/>
      <c r="Q181" s="77"/>
      <c r="R181" s="77"/>
      <c r="S181" s="77"/>
      <c r="T181" s="77"/>
      <c r="U181" s="77"/>
      <c r="V181" s="77"/>
      <c r="W181" s="77"/>
      <c r="X181" s="77"/>
      <c r="Y181" s="77"/>
      <c r="Z181" s="77"/>
    </row>
    <row r="182" spans="1:26" ht="27.75" customHeight="1" x14ac:dyDescent="0.3">
      <c r="A182" s="76" t="s">
        <v>451</v>
      </c>
      <c r="B182" s="282"/>
      <c r="C182" s="79"/>
      <c r="E182" s="300" t="s">
        <v>315</v>
      </c>
      <c r="F182" s="300"/>
      <c r="G182" s="300"/>
      <c r="H182" s="300"/>
      <c r="I182" s="300"/>
      <c r="J182" s="300"/>
      <c r="K182" s="300"/>
      <c r="P182" s="79"/>
      <c r="Q182" s="77"/>
      <c r="R182" s="77"/>
      <c r="S182" s="77"/>
      <c r="T182" s="77"/>
      <c r="U182" s="77"/>
      <c r="V182" s="77"/>
      <c r="W182" s="77"/>
      <c r="X182" s="77"/>
      <c r="Y182" s="77"/>
      <c r="Z182" s="77"/>
    </row>
    <row r="183" spans="1:26" ht="18.600000000000001" customHeight="1" x14ac:dyDescent="0.25">
      <c r="A183" s="76" t="s">
        <v>451</v>
      </c>
      <c r="B183" s="282"/>
      <c r="C183" s="79"/>
      <c r="E183" s="295" t="str">
        <f>VLOOKUP(D181,Table_Questions[],3,FALSE)</f>
        <v xml:space="preserve">Beredskabsstyring handler om at sikre forretnings- og informationssikkerhedskontinuiteten i tilfælde af en krise eller en katastrofe. Spørgeområdet vedrører i særdeleshed planer for håndteringen af en krise, der medvirker til tab af fortrolighed, integritet og tilgængelighed ved kritiske forretningsprocesser og systemer. Organisationens modenhed kan eksempelvis vurderes ud fra følgende elementer:
• Der er etableret en beredskabsplan/krisestyringsplan, som også kan håndtere en krise, der påvirker organisationens informationssikkerhed negativt. 
• Der er taget stilling til behovet for reetableringsplaner og test heraf for relevante it-systemer. 
• Der er fastlagt roller og ansvar i relation til opgaver og aktiviteter beskrevet i beredskabsplanen. 
• Planen er udbredt til alle relevante interessenter og er fysisk tilgængelig for medarbejdere.
• Planen afprøves med fast interval, f.eks. årligt eller ved større ændringer i trusselsbilledet. Der evalueres på afprøvningen og evt. forbedringstiltag implementeres.
Hent mere vejledning under ”Beredskab” på sikkerdigital.dk/myndighed.
</v>
      </c>
      <c r="F183" s="295"/>
      <c r="G183" s="295"/>
      <c r="H183" s="295"/>
      <c r="I183" s="295"/>
      <c r="J183" s="295"/>
      <c r="K183" s="295"/>
      <c r="L183" s="168"/>
      <c r="M183" s="147"/>
      <c r="N183" s="147"/>
      <c r="P183" s="79"/>
      <c r="Q183" s="77"/>
      <c r="R183" s="77"/>
      <c r="S183" s="77"/>
      <c r="T183" s="77"/>
      <c r="U183" s="77"/>
      <c r="V183" s="77"/>
      <c r="W183" s="77"/>
      <c r="X183" s="77"/>
      <c r="Y183" s="77"/>
      <c r="Z183" s="77"/>
    </row>
    <row r="184" spans="1:26" ht="18" customHeight="1" x14ac:dyDescent="0.25">
      <c r="A184" s="76" t="s">
        <v>451</v>
      </c>
      <c r="B184" s="282"/>
      <c r="C184" s="79"/>
      <c r="E184" s="296"/>
      <c r="F184" s="296"/>
      <c r="G184" s="296"/>
      <c r="H184" s="296"/>
      <c r="I184" s="296"/>
      <c r="J184" s="296"/>
      <c r="K184" s="296"/>
      <c r="L184" s="168"/>
      <c r="M184" s="147"/>
      <c r="N184" s="147"/>
      <c r="P184" s="79"/>
      <c r="Q184" s="77"/>
      <c r="R184" s="77"/>
      <c r="S184" s="77"/>
      <c r="T184" s="77"/>
      <c r="U184" s="77"/>
      <c r="V184" s="77"/>
      <c r="W184" s="77"/>
      <c r="X184" s="77"/>
      <c r="Y184" s="77"/>
      <c r="Z184" s="77"/>
    </row>
    <row r="185" spans="1:26" ht="16.899999999999999" customHeight="1" x14ac:dyDescent="0.25">
      <c r="A185" s="76" t="s">
        <v>451</v>
      </c>
      <c r="B185" s="282"/>
      <c r="C185" s="79"/>
      <c r="E185" s="296"/>
      <c r="F185" s="296"/>
      <c r="G185" s="296"/>
      <c r="H185" s="296"/>
      <c r="I185" s="296"/>
      <c r="J185" s="296"/>
      <c r="K185" s="296"/>
      <c r="L185" s="168"/>
      <c r="M185" s="147"/>
      <c r="N185" s="147"/>
      <c r="O185" s="163"/>
      <c r="P185" s="79"/>
      <c r="Q185" s="77"/>
      <c r="R185" s="77"/>
      <c r="S185" s="77"/>
      <c r="T185" s="77"/>
      <c r="U185" s="77"/>
      <c r="V185" s="77"/>
      <c r="W185" s="77"/>
      <c r="X185" s="77"/>
      <c r="Y185" s="77"/>
      <c r="Z185" s="77"/>
    </row>
    <row r="186" spans="1:26" ht="156" customHeight="1" x14ac:dyDescent="0.25">
      <c r="A186" s="76" t="s">
        <v>451</v>
      </c>
      <c r="B186" s="282"/>
      <c r="C186" s="79"/>
      <c r="E186" s="297"/>
      <c r="F186" s="297"/>
      <c r="G186" s="297"/>
      <c r="H186" s="297"/>
      <c r="I186" s="297"/>
      <c r="J186" s="297"/>
      <c r="K186" s="297"/>
      <c r="L186" s="168"/>
      <c r="M186" s="147"/>
      <c r="N186" s="147"/>
      <c r="O186" s="163"/>
      <c r="P186" s="79"/>
      <c r="Q186" s="77"/>
      <c r="R186" s="77"/>
      <c r="S186" s="77"/>
      <c r="T186" s="77"/>
      <c r="U186" s="77"/>
      <c r="V186" s="77"/>
      <c r="W186" s="77"/>
      <c r="X186" s="77"/>
      <c r="Y186" s="77"/>
      <c r="Z186" s="77"/>
    </row>
    <row r="187" spans="1:26" ht="31.5" customHeight="1" x14ac:dyDescent="0.35">
      <c r="A187" s="76" t="s">
        <v>451</v>
      </c>
      <c r="B187" s="282"/>
      <c r="C187" s="79"/>
      <c r="E187" s="200" t="str">
        <f>"Spg. 9.1: "&amp;VLOOKUP(D181,Table_Questions[#All],4,FALSE)</f>
        <v>Spg. 9.1: Hvordan vurderer du organisationens modenhed i forhold til nedenstående udsagn?</v>
      </c>
      <c r="F187" s="89"/>
      <c r="K187" s="24"/>
      <c r="L187" s="24"/>
      <c r="M187" s="24"/>
      <c r="N187" s="24"/>
      <c r="O187" s="163"/>
      <c r="P187" s="79"/>
      <c r="Q187" s="77"/>
      <c r="R187" s="77"/>
      <c r="S187" s="77"/>
      <c r="T187" s="77"/>
      <c r="U187" s="77"/>
      <c r="V187" s="77"/>
      <c r="W187" s="77"/>
      <c r="X187" s="77"/>
      <c r="Y187" s="77"/>
      <c r="Z187" s="77"/>
    </row>
    <row r="188" spans="1:26" ht="14.45" customHeight="1" x14ac:dyDescent="0.25">
      <c r="A188" s="76" t="s">
        <v>451</v>
      </c>
      <c r="B188" s="282"/>
      <c r="C188" s="79"/>
      <c r="O188" s="163"/>
      <c r="P188" s="79"/>
      <c r="Q188" s="77"/>
      <c r="R188" s="77"/>
      <c r="S188" s="77"/>
      <c r="T188" s="77"/>
      <c r="U188" s="77"/>
      <c r="V188" s="77"/>
      <c r="W188" s="77"/>
      <c r="X188" s="77"/>
      <c r="Y188" s="77"/>
      <c r="Z188" s="77"/>
    </row>
    <row r="189" spans="1:26" ht="16.149999999999999" customHeight="1" x14ac:dyDescent="0.3">
      <c r="A189" s="76" t="s">
        <v>451</v>
      </c>
      <c r="B189" s="282"/>
      <c r="C189" s="79"/>
      <c r="E189" s="198" t="str">
        <f>S_Lookupsheet!$BC$2</f>
        <v>Vælg dit svar til højre for matricen</v>
      </c>
      <c r="O189" s="163"/>
      <c r="P189" s="79"/>
      <c r="Q189" s="77"/>
      <c r="R189" s="77"/>
      <c r="S189" s="77"/>
      <c r="T189" s="77"/>
      <c r="U189" s="77"/>
      <c r="V189" s="77"/>
      <c r="W189" s="77"/>
      <c r="X189" s="77"/>
      <c r="Y189" s="77"/>
      <c r="Z189" s="77"/>
    </row>
    <row r="190" spans="1:26" ht="23.45" customHeight="1" thickBot="1" x14ac:dyDescent="0.3">
      <c r="A190" s="76" t="s">
        <v>451</v>
      </c>
      <c r="B190" s="282"/>
      <c r="C190" s="79"/>
      <c r="G190" s="90" t="s">
        <v>4</v>
      </c>
      <c r="H190" s="90" t="s">
        <v>5</v>
      </c>
      <c r="I190" s="90" t="s">
        <v>6</v>
      </c>
      <c r="J190" s="90" t="s">
        <v>7</v>
      </c>
      <c r="K190" s="90" t="s">
        <v>14</v>
      </c>
      <c r="L190" s="262"/>
      <c r="M190" s="90" t="s">
        <v>168</v>
      </c>
      <c r="N190" s="90" t="s">
        <v>388</v>
      </c>
      <c r="P190" s="79"/>
      <c r="Q190" s="77"/>
      <c r="R190" s="77"/>
      <c r="S190" s="77"/>
      <c r="T190" s="77"/>
      <c r="U190" s="77"/>
      <c r="V190" s="77"/>
      <c r="W190" s="77"/>
      <c r="X190" s="77"/>
      <c r="Y190" s="77"/>
      <c r="Z190" s="77"/>
    </row>
    <row r="191" spans="1:26" ht="110.25" customHeight="1" thickBot="1" x14ac:dyDescent="0.3">
      <c r="A191" s="76" t="s">
        <v>272</v>
      </c>
      <c r="B191" s="282" t="s">
        <v>76</v>
      </c>
      <c r="C191" s="79"/>
      <c r="D191" s="91"/>
      <c r="E191" s="288" t="s">
        <v>473</v>
      </c>
      <c r="F191" s="303"/>
      <c r="G191" s="178" t="str">
        <f>VLOOKUP($A191&amp;G$1,Table_Answers[],2,FALSE)</f>
        <v>Ad hoc</v>
      </c>
      <c r="H191" s="178" t="str">
        <f>VLOOKUP($A191&amp;H$1,Table_Answers[],2,FALSE)</f>
        <v>Gentaget</v>
      </c>
      <c r="I191" s="178" t="str">
        <f>VLOOKUP($A191&amp;I$1,Table_Answers[],2,FALSE)</f>
        <v>Procesunderstøttet</v>
      </c>
      <c r="J191" s="181" t="str">
        <f>VLOOKUP($A191&amp;J$1,Table_Answers[],2,FALSE)</f>
        <v>Styret og målbar</v>
      </c>
      <c r="K191" s="180" t="str">
        <f>VLOOKUP($A191&amp;K$1,Table_Answers[],2,FALSE)</f>
        <v>Optimeret</v>
      </c>
      <c r="L191" s="258"/>
      <c r="M191" s="165" t="s">
        <v>167</v>
      </c>
      <c r="N191" s="250" t="s">
        <v>389</v>
      </c>
      <c r="O191" s="163">
        <f>IF(OR(K191="Ikke relevant",K191="Ikke angivet"),5,IF(_xlfn.IFNA(VLOOKUP(A191,MasterTable[[Spørgsmål]:[Aktuelt niveau - kvalitetsstyringsprincip]],3,FALSE),0)&gt;0,1,0))</f>
        <v>0</v>
      </c>
      <c r="P191" s="79"/>
      <c r="Q191" s="77"/>
      <c r="R191" s="77"/>
      <c r="S191" s="77"/>
      <c r="T191" s="77"/>
      <c r="U191" s="77"/>
      <c r="V191" s="77"/>
      <c r="W191" s="77"/>
      <c r="X191" s="77"/>
      <c r="Y191" s="77"/>
      <c r="Z191" s="77"/>
    </row>
    <row r="192" spans="1:26" ht="104.25" customHeight="1" thickBot="1" x14ac:dyDescent="0.3">
      <c r="A192" s="76" t="s">
        <v>273</v>
      </c>
      <c r="B192" s="282" t="s">
        <v>77</v>
      </c>
      <c r="C192" s="79"/>
      <c r="E192" s="288" t="s">
        <v>322</v>
      </c>
      <c r="F192" s="303"/>
      <c r="G192" s="178" t="str">
        <f>VLOOKUP($A192&amp;G$1,Table_Answers[],2,FALSE)</f>
        <v>Ad hoc</v>
      </c>
      <c r="H192" s="178" t="str">
        <f>VLOOKUP($A192&amp;H$1,Table_Answers[],2,FALSE)</f>
        <v>Gentaget</v>
      </c>
      <c r="I192" s="178" t="str">
        <f>VLOOKUP($A192&amp;I$1,Table_Answers[],2,FALSE)</f>
        <v>Procesunderstøttet</v>
      </c>
      <c r="J192" s="181" t="str">
        <f>VLOOKUP($A192&amp;J$1,Table_Answers[],2,FALSE)</f>
        <v>Styret og målbar</v>
      </c>
      <c r="K192" s="180" t="str">
        <f>VLOOKUP($A192&amp;K$1,Table_Answers[],2,FALSE)</f>
        <v>Optimeret</v>
      </c>
      <c r="L192" s="257"/>
      <c r="M192" s="165" t="s">
        <v>167</v>
      </c>
      <c r="N192" s="250" t="s">
        <v>389</v>
      </c>
      <c r="O192" s="163">
        <f>IF(OR(K192="Ikke relevant",K192="Ikke angivet"),5,IF(_xlfn.IFNA(VLOOKUP(A192,MasterTable[[Spørgsmål]:[Aktuelt niveau - kvalitetsstyringsprincip]],3,FALSE),0)&gt;0,1,0))</f>
        <v>0</v>
      </c>
      <c r="P192" s="79"/>
      <c r="Q192" s="77"/>
      <c r="R192" s="77"/>
      <c r="S192" s="77"/>
      <c r="T192" s="77"/>
      <c r="U192" s="77"/>
      <c r="V192" s="77"/>
      <c r="W192" s="77"/>
      <c r="X192" s="77"/>
      <c r="Y192" s="77"/>
      <c r="Z192" s="77"/>
    </row>
    <row r="193" spans="1:26" ht="111.75" customHeight="1" thickBot="1" x14ac:dyDescent="0.3">
      <c r="A193" s="76" t="s">
        <v>274</v>
      </c>
      <c r="B193" s="282" t="s">
        <v>78</v>
      </c>
      <c r="C193" s="79"/>
      <c r="E193" s="288" t="s">
        <v>420</v>
      </c>
      <c r="F193" s="303"/>
      <c r="G193" s="178" t="str">
        <f>VLOOKUP($A193&amp;G$1,Table_Answers[],2,FALSE)</f>
        <v>Ad hoc</v>
      </c>
      <c r="H193" s="178" t="str">
        <f>VLOOKUP($A193&amp;H$1,Table_Answers[],2,FALSE)</f>
        <v>Gentaget</v>
      </c>
      <c r="I193" s="178" t="str">
        <f>VLOOKUP($A193&amp;I$1,Table_Answers[],2,FALSE)</f>
        <v>Procesunderstøttet</v>
      </c>
      <c r="J193" s="178" t="str">
        <f>VLOOKUP($A193&amp;J$1,Table_Answers[],2,FALSE)</f>
        <v>Styret og målbar</v>
      </c>
      <c r="K193" s="189" t="str">
        <f>VLOOKUP($A193&amp;K$1,Table_Answers[],2,FALSE)</f>
        <v>Optimeret</v>
      </c>
      <c r="L193" s="257"/>
      <c r="M193" s="165" t="s">
        <v>167</v>
      </c>
      <c r="N193" s="250" t="s">
        <v>389</v>
      </c>
      <c r="O193" s="163">
        <f>IF(OR(K193="Ikke relevant",K193="Ikke angivet"),5,IF(_xlfn.IFNA(VLOOKUP(A193,MasterTable[[Spørgsmål]:[Aktuelt niveau - kvalitetsstyringsprincip]],3,FALSE),0)&gt;0,1,0))</f>
        <v>0</v>
      </c>
      <c r="P193" s="79"/>
      <c r="Q193" s="77"/>
      <c r="R193" s="77"/>
      <c r="S193" s="77"/>
      <c r="T193" s="77"/>
      <c r="U193" s="77"/>
      <c r="V193" s="77"/>
      <c r="W193" s="77"/>
      <c r="X193" s="77"/>
      <c r="Y193" s="77"/>
      <c r="Z193" s="77"/>
    </row>
    <row r="194" spans="1:26" ht="108.75" customHeight="1" thickBot="1" x14ac:dyDescent="0.3">
      <c r="A194" s="76" t="s">
        <v>275</v>
      </c>
      <c r="B194" s="282" t="s">
        <v>85</v>
      </c>
      <c r="C194" s="79"/>
      <c r="D194" s="166"/>
      <c r="E194" s="293" t="s">
        <v>422</v>
      </c>
      <c r="F194" s="304"/>
      <c r="G194" s="178" t="str">
        <f>VLOOKUP($A194&amp;G$1,Table_Answers[],2,FALSE)</f>
        <v>Ad hoc</v>
      </c>
      <c r="H194" s="178" t="str">
        <f>VLOOKUP($A194&amp;H$1,Table_Answers[],2,FALSE)</f>
        <v>Gentaget</v>
      </c>
      <c r="I194" s="179" t="str">
        <f>VLOOKUP($A194&amp;I$1,Table_Answers[],2,FALSE)</f>
        <v>Procesunderstøttet</v>
      </c>
      <c r="J194" s="178" t="str">
        <f>VLOOKUP($A194&amp;J$1,Table_Answers[],2,FALSE)</f>
        <v>Styret og målbar</v>
      </c>
      <c r="K194" s="180" t="str">
        <f>VLOOKUP($A194&amp;K$1,Table_Answers[],2,FALSE)</f>
        <v>Optimeret</v>
      </c>
      <c r="L194" s="257"/>
      <c r="M194" s="165" t="s">
        <v>167</v>
      </c>
      <c r="N194" s="250" t="s">
        <v>389</v>
      </c>
      <c r="O194" s="163">
        <f>IF(OR(K194="Ikke relevant",K194="Ikke angivet"),5,IF(_xlfn.IFNA(VLOOKUP(A194,MasterTable[[Spørgsmål]:[Aktuelt niveau - kvalitetsstyringsprincip]],3,FALSE),0)&gt;0,1,0))</f>
        <v>0</v>
      </c>
      <c r="P194" s="79"/>
      <c r="Q194" s="77"/>
      <c r="R194" s="77"/>
      <c r="S194" s="77"/>
      <c r="T194" s="77"/>
      <c r="U194" s="77"/>
      <c r="V194" s="77"/>
      <c r="W194" s="77"/>
      <c r="X194" s="77"/>
      <c r="Y194" s="77"/>
      <c r="Z194" s="77"/>
    </row>
    <row r="195" spans="1:26" ht="143.25" hidden="1" customHeight="1" thickBot="1" x14ac:dyDescent="0.3">
      <c r="A195" s="76" t="s">
        <v>276</v>
      </c>
      <c r="B195" s="282" t="s">
        <v>86</v>
      </c>
      <c r="C195" s="79"/>
      <c r="D195" s="166"/>
      <c r="E195" s="293" t="s">
        <v>120</v>
      </c>
      <c r="F195" s="304"/>
      <c r="G195" s="178" t="str">
        <f>VLOOKUP($A195&amp;G$1,Table_Answers[],2,FALSE)</f>
        <v>Ikke relevant</v>
      </c>
      <c r="H195" s="178" t="str">
        <f>VLOOKUP($A195&amp;H$1,Table_Answers[],2,FALSE)</f>
        <v>Ikke relevant</v>
      </c>
      <c r="I195" s="179" t="str">
        <f>VLOOKUP($A195&amp;I$1,Table_Answers[],2,FALSE)</f>
        <v>Ikke relevant</v>
      </c>
      <c r="J195" s="178" t="str">
        <f>VLOOKUP($A195&amp;J$1,Table_Answers[],2,FALSE)</f>
        <v>Ikke relevant</v>
      </c>
      <c r="K195" s="180" t="str">
        <f>VLOOKUP($A195&amp;K$1,Table_Answers[],2,FALSE)</f>
        <v>Ikke relevant</v>
      </c>
      <c r="L195" s="257"/>
      <c r="M195" s="165" t="s">
        <v>208</v>
      </c>
      <c r="N195" s="250" t="s">
        <v>167</v>
      </c>
      <c r="O195" s="163"/>
      <c r="P195" s="79"/>
      <c r="Q195" s="77"/>
      <c r="R195" s="77"/>
      <c r="S195" s="77"/>
      <c r="T195" s="77"/>
      <c r="U195" s="77"/>
      <c r="V195" s="77"/>
      <c r="W195" s="77"/>
      <c r="X195" s="77"/>
      <c r="Y195" s="77"/>
      <c r="Z195" s="77"/>
    </row>
    <row r="196" spans="1:26" ht="144" hidden="1" customHeight="1" thickBot="1" x14ac:dyDescent="0.3">
      <c r="A196" s="76" t="s">
        <v>277</v>
      </c>
      <c r="B196" s="282" t="s">
        <v>87</v>
      </c>
      <c r="C196" s="79"/>
      <c r="D196" s="166"/>
      <c r="E196" s="293" t="s">
        <v>121</v>
      </c>
      <c r="F196" s="304"/>
      <c r="G196" s="178" t="str">
        <f>VLOOKUP($A196&amp;G$1,Table_Answers[],2,FALSE)</f>
        <v>Ikke relevant</v>
      </c>
      <c r="H196" s="178" t="str">
        <f>VLOOKUP($A196&amp;H$1,Table_Answers[],2,FALSE)</f>
        <v>Ikke relevant</v>
      </c>
      <c r="I196" s="179" t="str">
        <f>VLOOKUP($A196&amp;I$1,Table_Answers[],2,FALSE)</f>
        <v>Ikke relevant</v>
      </c>
      <c r="J196" s="178" t="str">
        <f>VLOOKUP($A196&amp;J$1,Table_Answers[],2,FALSE)</f>
        <v>Ikke relevant</v>
      </c>
      <c r="K196" s="180" t="str">
        <f>VLOOKUP($A196&amp;K$1,Table_Answers[],2,FALSE)</f>
        <v>Ikke relevant</v>
      </c>
      <c r="L196" s="257"/>
      <c r="M196" s="165" t="s">
        <v>208</v>
      </c>
      <c r="N196" s="250" t="s">
        <v>167</v>
      </c>
      <c r="O196" s="163"/>
      <c r="P196" s="79"/>
      <c r="Q196" s="77"/>
      <c r="R196" s="77"/>
      <c r="S196" s="77"/>
      <c r="T196" s="77"/>
      <c r="U196" s="77"/>
      <c r="V196" s="77"/>
      <c r="W196" s="77"/>
      <c r="X196" s="77"/>
      <c r="Y196" s="77"/>
      <c r="Z196" s="77"/>
    </row>
    <row r="197" spans="1:26" ht="16.5" thickBot="1" x14ac:dyDescent="0.3">
      <c r="A197" s="76" t="s">
        <v>451</v>
      </c>
      <c r="B197" s="282"/>
      <c r="C197" s="79"/>
      <c r="E197" s="92"/>
      <c r="F197" s="48"/>
      <c r="G197" s="24"/>
      <c r="H197" s="24"/>
      <c r="I197" s="24"/>
      <c r="J197" s="24"/>
      <c r="K197" s="93"/>
      <c r="L197" s="93"/>
      <c r="M197" s="93"/>
      <c r="N197" s="93"/>
      <c r="O197" s="163"/>
      <c r="P197" s="79"/>
      <c r="Q197" s="77"/>
      <c r="R197" s="77"/>
      <c r="S197" s="77"/>
      <c r="T197" s="77"/>
      <c r="U197" s="77"/>
      <c r="V197" s="77"/>
      <c r="W197" s="77"/>
      <c r="X197" s="77"/>
      <c r="Y197" s="77"/>
      <c r="Z197" s="77"/>
    </row>
    <row r="198" spans="1:26" ht="86.25" customHeight="1" thickBot="1" x14ac:dyDescent="0.3">
      <c r="A198" s="76" t="s">
        <v>452</v>
      </c>
      <c r="B198" s="282" t="s">
        <v>426</v>
      </c>
      <c r="C198" s="79"/>
      <c r="E198" s="239"/>
      <c r="F198" s="298" t="str">
        <f>"Spg. 9.2: "&amp;"Med afsæt i din organisations vurdering af væsentligheden af de forskellige udsagn, hvordan vurderer du samlet set modenheden af "&amp;E181&amp;"?"</f>
        <v>Spg. 9.2: Med afsæt i din organisations vurdering af væsentligheden af de forskellige udsagn, hvordan vurderer du samlet set modenheden af Beredskabsplaner?</v>
      </c>
      <c r="G198" s="298"/>
      <c r="H198" s="298"/>
      <c r="I198" s="298"/>
      <c r="J198" s="298"/>
      <c r="K198" s="298"/>
      <c r="L198" s="274"/>
      <c r="M198" s="201" t="s">
        <v>167</v>
      </c>
      <c r="N198" s="250" t="s">
        <v>389</v>
      </c>
      <c r="O198" s="276">
        <f>IFERROR(IF(MATCH(M198,Table_Spørgeramme[Spørgeramme],0)-1&gt;0,2,0),0)</f>
        <v>0</v>
      </c>
      <c r="P198" s="79"/>
      <c r="Q198" s="77"/>
      <c r="R198" s="77"/>
      <c r="S198" s="318" t="s">
        <v>460</v>
      </c>
      <c r="T198" s="319"/>
      <c r="U198" s="319"/>
      <c r="V198" s="319"/>
      <c r="W198" s="319"/>
      <c r="X198" s="320"/>
      <c r="Y198" s="77"/>
      <c r="Z198" s="77"/>
    </row>
    <row r="199" spans="1:26" ht="60" customHeight="1" thickBot="1" x14ac:dyDescent="0.3">
      <c r="A199" s="76" t="s">
        <v>453</v>
      </c>
      <c r="B199" s="282" t="s">
        <v>427</v>
      </c>
      <c r="C199" s="79"/>
      <c r="L199" s="271"/>
      <c r="M199" s="201" t="s">
        <v>7</v>
      </c>
      <c r="N199" s="272" t="s">
        <v>391</v>
      </c>
      <c r="O199" s="163"/>
      <c r="P199" s="79"/>
      <c r="Q199" s="77"/>
      <c r="R199" s="77"/>
      <c r="S199" s="321"/>
      <c r="T199" s="322"/>
      <c r="U199" s="322"/>
      <c r="V199" s="322"/>
      <c r="W199" s="322"/>
      <c r="X199" s="323"/>
      <c r="Y199" s="77"/>
      <c r="Z199" s="77"/>
    </row>
    <row r="200" spans="1:26" ht="17.45" customHeight="1" x14ac:dyDescent="0.25">
      <c r="A200" s="76" t="s">
        <v>451</v>
      </c>
      <c r="B200" s="282"/>
      <c r="C200" s="79"/>
      <c r="D200" s="79"/>
      <c r="E200" s="79"/>
      <c r="F200" s="79"/>
      <c r="G200" s="79"/>
      <c r="H200" s="79"/>
      <c r="I200" s="79"/>
      <c r="J200" s="79"/>
      <c r="K200" s="79"/>
      <c r="L200" s="79"/>
      <c r="M200" s="79"/>
      <c r="N200" s="79"/>
      <c r="O200" s="278"/>
      <c r="P200" s="79"/>
      <c r="Q200" s="77"/>
      <c r="R200" s="77"/>
      <c r="S200" s="77"/>
      <c r="T200" s="77"/>
      <c r="U200" s="77"/>
      <c r="V200" s="77"/>
      <c r="W200" s="77"/>
      <c r="X200" s="77"/>
      <c r="Y200" s="77"/>
      <c r="Z200" s="77"/>
    </row>
    <row r="201" spans="1:26" ht="21" hidden="1" customHeight="1" x14ac:dyDescent="0.4">
      <c r="A201" s="76" t="s">
        <v>454</v>
      </c>
      <c r="B201" s="282"/>
      <c r="C201" s="79"/>
      <c r="D201" s="73" t="str">
        <f>COUNTA($D$2:$D200)&amp;"."</f>
        <v>10.</v>
      </c>
      <c r="E201" s="74" t="str">
        <f>VLOOKUP(D201,Table_Questions[#All],2,FALSE)</f>
        <v>Ikke angivet</v>
      </c>
      <c r="F201" s="83"/>
      <c r="G201" s="231"/>
      <c r="H201" s="83"/>
      <c r="I201" s="83"/>
      <c r="J201" s="83"/>
      <c r="K201" s="83"/>
      <c r="L201" s="83"/>
      <c r="M201" s="83"/>
      <c r="N201" s="83"/>
      <c r="O201" s="280"/>
      <c r="P201" s="79"/>
      <c r="Q201" s="77"/>
      <c r="R201" s="77"/>
      <c r="S201" s="77"/>
      <c r="T201" s="77"/>
      <c r="U201" s="77"/>
      <c r="V201" s="77"/>
      <c r="W201" s="77"/>
      <c r="X201" s="77"/>
      <c r="Y201" s="77"/>
      <c r="Z201" s="77"/>
    </row>
    <row r="202" spans="1:26" ht="27.75" hidden="1" customHeight="1" x14ac:dyDescent="0.3">
      <c r="A202" s="76" t="s">
        <v>454</v>
      </c>
      <c r="B202" s="282"/>
      <c r="C202" s="79"/>
      <c r="E202" s="300"/>
      <c r="F202" s="300"/>
      <c r="G202" s="300"/>
      <c r="H202" s="300"/>
      <c r="I202" s="300"/>
      <c r="J202" s="300"/>
      <c r="K202" s="300"/>
      <c r="P202" s="79"/>
      <c r="Q202" s="77"/>
      <c r="R202" s="77"/>
      <c r="S202" s="77"/>
      <c r="T202" s="77"/>
      <c r="U202" s="77"/>
      <c r="V202" s="77"/>
      <c r="W202" s="77"/>
      <c r="X202" s="77"/>
      <c r="Y202" s="77"/>
      <c r="Z202" s="77"/>
    </row>
    <row r="203" spans="1:26" ht="18.600000000000001" hidden="1" customHeight="1" x14ac:dyDescent="0.25">
      <c r="A203" s="76" t="s">
        <v>454</v>
      </c>
      <c r="B203" s="282"/>
      <c r="C203" s="79"/>
      <c r="E203" s="295" t="str">
        <f>VLOOKUP(D201,Table_Questions[],3,FALSE)</f>
        <v>Ikke angivet</v>
      </c>
      <c r="F203" s="295"/>
      <c r="G203" s="295"/>
      <c r="H203" s="295"/>
      <c r="I203" s="295"/>
      <c r="J203" s="295"/>
      <c r="K203" s="295"/>
      <c r="L203" s="275"/>
      <c r="M203" s="275"/>
      <c r="N203" s="275"/>
      <c r="P203" s="79"/>
      <c r="Q203" s="77"/>
      <c r="R203" s="77"/>
      <c r="S203" s="77"/>
      <c r="T203" s="77"/>
      <c r="U203" s="77"/>
      <c r="V203" s="77"/>
      <c r="W203" s="77"/>
      <c r="X203" s="77"/>
      <c r="Y203" s="77"/>
      <c r="Z203" s="77"/>
    </row>
    <row r="204" spans="1:26" ht="18" hidden="1" customHeight="1" x14ac:dyDescent="0.25">
      <c r="A204" s="76" t="s">
        <v>454</v>
      </c>
      <c r="B204" s="282"/>
      <c r="C204" s="79"/>
      <c r="E204" s="296"/>
      <c r="F204" s="296"/>
      <c r="G204" s="296"/>
      <c r="H204" s="296"/>
      <c r="I204" s="296"/>
      <c r="J204" s="296"/>
      <c r="K204" s="296"/>
      <c r="L204" s="275"/>
      <c r="M204" s="275"/>
      <c r="N204" s="275"/>
      <c r="P204" s="79"/>
      <c r="Q204" s="77"/>
      <c r="R204" s="77"/>
      <c r="S204" s="77"/>
      <c r="T204" s="77"/>
      <c r="U204" s="77"/>
      <c r="V204" s="77"/>
      <c r="W204" s="77"/>
      <c r="X204" s="77"/>
      <c r="Y204" s="77"/>
      <c r="Z204" s="77"/>
    </row>
    <row r="205" spans="1:26" ht="16.899999999999999" hidden="1" customHeight="1" x14ac:dyDescent="0.25">
      <c r="A205" s="76" t="s">
        <v>454</v>
      </c>
      <c r="B205" s="282"/>
      <c r="C205" s="79"/>
      <c r="E205" s="296"/>
      <c r="F205" s="296"/>
      <c r="G205" s="296"/>
      <c r="H205" s="296"/>
      <c r="I205" s="296"/>
      <c r="J205" s="296"/>
      <c r="K205" s="296"/>
      <c r="L205" s="275"/>
      <c r="M205" s="275"/>
      <c r="N205" s="275"/>
      <c r="O205" s="163"/>
      <c r="P205" s="79"/>
      <c r="Q205" s="77"/>
      <c r="R205" s="77"/>
      <c r="S205" s="77"/>
      <c r="T205" s="77"/>
      <c r="U205" s="77"/>
      <c r="V205" s="77"/>
      <c r="W205" s="77"/>
      <c r="X205" s="77"/>
      <c r="Y205" s="77"/>
      <c r="Z205" s="77"/>
    </row>
    <row r="206" spans="1:26" ht="132.75" hidden="1" customHeight="1" x14ac:dyDescent="0.25">
      <c r="A206" s="76" t="s">
        <v>454</v>
      </c>
      <c r="B206" s="282"/>
      <c r="C206" s="79"/>
      <c r="E206" s="297"/>
      <c r="F206" s="297"/>
      <c r="G206" s="297"/>
      <c r="H206" s="297"/>
      <c r="I206" s="297"/>
      <c r="J206" s="297"/>
      <c r="K206" s="297"/>
      <c r="L206" s="275"/>
      <c r="M206" s="275"/>
      <c r="N206" s="275"/>
      <c r="O206" s="163"/>
      <c r="P206" s="79"/>
      <c r="Q206" s="77"/>
      <c r="R206" s="77"/>
      <c r="S206" s="77"/>
      <c r="T206" s="77"/>
      <c r="U206" s="77"/>
      <c r="V206" s="77"/>
      <c r="W206" s="77"/>
      <c r="X206" s="77"/>
      <c r="Y206" s="77"/>
      <c r="Z206" s="77"/>
    </row>
    <row r="207" spans="1:26" ht="31.5" hidden="1" customHeight="1" x14ac:dyDescent="0.35">
      <c r="A207" s="76" t="s">
        <v>454</v>
      </c>
      <c r="B207" s="282"/>
      <c r="C207" s="79"/>
      <c r="E207" s="200" t="str">
        <f>"✴ "&amp;VLOOKUP(D201,Table_Questions[#All],4,FALSE)</f>
        <v>✴ Ikke angivet</v>
      </c>
      <c r="F207" s="89"/>
      <c r="K207" s="24"/>
      <c r="L207" s="24"/>
      <c r="M207" s="24"/>
      <c r="N207" s="24"/>
      <c r="O207" s="163"/>
      <c r="P207" s="79"/>
      <c r="Q207" s="77"/>
      <c r="R207" s="77"/>
      <c r="S207" s="77"/>
      <c r="T207" s="77"/>
      <c r="U207" s="77"/>
      <c r="V207" s="77"/>
      <c r="W207" s="77"/>
      <c r="X207" s="77"/>
      <c r="Y207" s="77"/>
      <c r="Z207" s="77"/>
    </row>
    <row r="208" spans="1:26" ht="14.45" hidden="1" customHeight="1" x14ac:dyDescent="0.25">
      <c r="A208" s="76" t="s">
        <v>454</v>
      </c>
      <c r="B208" s="282"/>
      <c r="C208" s="79"/>
      <c r="O208" s="163"/>
      <c r="P208" s="79"/>
      <c r="Q208" s="77"/>
      <c r="R208" s="77"/>
      <c r="S208" s="77"/>
      <c r="T208" s="77"/>
      <c r="U208" s="77"/>
      <c r="V208" s="77"/>
      <c r="W208" s="77"/>
      <c r="X208" s="77"/>
      <c r="Y208" s="77"/>
      <c r="Z208" s="77"/>
    </row>
    <row r="209" spans="1:26" ht="16.149999999999999" hidden="1" customHeight="1" x14ac:dyDescent="0.3">
      <c r="A209" s="76" t="s">
        <v>454</v>
      </c>
      <c r="B209" s="282"/>
      <c r="C209" s="79"/>
      <c r="E209" s="198" t="str">
        <f>S_Lookupsheet!$BC$2</f>
        <v>Vælg dit svar til højre for matricen</v>
      </c>
      <c r="O209" s="163"/>
      <c r="P209" s="79"/>
      <c r="Q209" s="77"/>
      <c r="R209" s="77"/>
      <c r="S209" s="77"/>
      <c r="T209" s="77"/>
      <c r="U209" s="77"/>
      <c r="V209" s="77"/>
      <c r="W209" s="77"/>
      <c r="X209" s="77"/>
      <c r="Y209" s="77"/>
      <c r="Z209" s="77"/>
    </row>
    <row r="210" spans="1:26" ht="23.45" hidden="1" customHeight="1" thickBot="1" x14ac:dyDescent="0.3">
      <c r="A210" s="76" t="s">
        <v>454</v>
      </c>
      <c r="B210" s="282"/>
      <c r="C210" s="79"/>
      <c r="G210" s="90" t="s">
        <v>4</v>
      </c>
      <c r="H210" s="90" t="s">
        <v>5</v>
      </c>
      <c r="I210" s="90" t="s">
        <v>6</v>
      </c>
      <c r="J210" s="90" t="s">
        <v>7</v>
      </c>
      <c r="K210" s="90" t="s">
        <v>14</v>
      </c>
      <c r="L210" s="262"/>
      <c r="M210" s="90"/>
      <c r="N210" s="90" t="str">
        <f>S_Lookupsheet!$BC$3</f>
        <v>Vurdering</v>
      </c>
      <c r="P210" s="79"/>
      <c r="Q210" s="77"/>
      <c r="R210" s="77"/>
      <c r="S210" s="77"/>
      <c r="T210" s="77"/>
      <c r="U210" s="77"/>
      <c r="V210" s="77"/>
      <c r="W210" s="77"/>
      <c r="X210" s="77"/>
      <c r="Y210" s="77"/>
      <c r="Z210" s="77"/>
    </row>
    <row r="211" spans="1:26" ht="110.25" hidden="1" customHeight="1" thickBot="1" x14ac:dyDescent="0.3">
      <c r="A211" s="76" t="s">
        <v>278</v>
      </c>
      <c r="B211" s="282" t="s">
        <v>76</v>
      </c>
      <c r="C211" s="79"/>
      <c r="D211" s="91"/>
      <c r="E211" s="288" t="s">
        <v>116</v>
      </c>
      <c r="F211" s="303"/>
      <c r="G211" s="178" t="str">
        <f>VLOOKUP($A211&amp;G$1,Table_Answers[],2,FALSE)</f>
        <v>Ikke angivet</v>
      </c>
      <c r="H211" s="178" t="str">
        <f>VLOOKUP($A211&amp;H$1,Table_Answers[],2,FALSE)</f>
        <v>Ikke angivet</v>
      </c>
      <c r="I211" s="178" t="str">
        <f>VLOOKUP($A211&amp;I$1,Table_Answers[],2,FALSE)</f>
        <v>Ikke angivet</v>
      </c>
      <c r="J211" s="181" t="str">
        <f>VLOOKUP($A211&amp;J$1,Table_Answers[],2,FALSE)</f>
        <v>Ikke angivet</v>
      </c>
      <c r="K211" s="180" t="str">
        <f>VLOOKUP($A211&amp;K$1,Table_Answers[],2,FALSE)</f>
        <v>Ikke angivet</v>
      </c>
      <c r="L211" s="258"/>
      <c r="M211" s="165"/>
      <c r="N211" s="250" t="s">
        <v>167</v>
      </c>
      <c r="O211" s="163"/>
      <c r="P211" s="79"/>
      <c r="Q211" s="77"/>
      <c r="R211" s="77"/>
      <c r="S211" s="77"/>
      <c r="T211" s="77"/>
      <c r="U211" s="77"/>
      <c r="V211" s="77"/>
      <c r="W211" s="77"/>
      <c r="X211" s="77"/>
      <c r="Y211" s="77"/>
      <c r="Z211" s="77"/>
    </row>
    <row r="212" spans="1:26" ht="104.25" hidden="1" customHeight="1" thickBot="1" x14ac:dyDescent="0.3">
      <c r="A212" s="76" t="s">
        <v>279</v>
      </c>
      <c r="B212" s="282" t="s">
        <v>77</v>
      </c>
      <c r="C212" s="79"/>
      <c r="E212" s="288" t="s">
        <v>117</v>
      </c>
      <c r="F212" s="303"/>
      <c r="G212" s="178" t="str">
        <f>VLOOKUP($A212&amp;G$1,Table_Answers[],2,FALSE)</f>
        <v>Ikke angivet</v>
      </c>
      <c r="H212" s="178" t="str">
        <f>VLOOKUP($A212&amp;H$1,Table_Answers[],2,FALSE)</f>
        <v>Ikke angivet</v>
      </c>
      <c r="I212" s="178" t="str">
        <f>VLOOKUP($A212&amp;I$1,Table_Answers[],2,FALSE)</f>
        <v>Ikke angivet</v>
      </c>
      <c r="J212" s="181" t="str">
        <f>VLOOKUP($A212&amp;J$1,Table_Answers[],2,FALSE)</f>
        <v>Ikke angivet</v>
      </c>
      <c r="K212" s="180" t="str">
        <f>VLOOKUP($A212&amp;K$1,Table_Answers[],2,FALSE)</f>
        <v>Ikke angivet</v>
      </c>
      <c r="L212" s="257"/>
      <c r="M212" s="165"/>
      <c r="N212" s="250" t="s">
        <v>167</v>
      </c>
      <c r="O212" s="163"/>
      <c r="P212" s="79"/>
      <c r="Q212" s="77"/>
      <c r="R212" s="77"/>
      <c r="S212" s="77"/>
      <c r="T212" s="77"/>
      <c r="U212" s="77"/>
      <c r="V212" s="77"/>
      <c r="W212" s="77"/>
      <c r="X212" s="77"/>
      <c r="Y212" s="77"/>
      <c r="Z212" s="77"/>
    </row>
    <row r="213" spans="1:26" ht="111.75" hidden="1" customHeight="1" thickBot="1" x14ac:dyDescent="0.3">
      <c r="A213" s="76" t="s">
        <v>280</v>
      </c>
      <c r="B213" s="282" t="s">
        <v>78</v>
      </c>
      <c r="C213" s="79"/>
      <c r="E213" s="288" t="s">
        <v>118</v>
      </c>
      <c r="F213" s="303"/>
      <c r="G213" s="178" t="str">
        <f>VLOOKUP($A213&amp;G$1,Table_Answers[],2,FALSE)</f>
        <v>Ikke angivet</v>
      </c>
      <c r="H213" s="178" t="str">
        <f>VLOOKUP($A213&amp;H$1,Table_Answers[],2,FALSE)</f>
        <v>Ikke angivet</v>
      </c>
      <c r="I213" s="178" t="str">
        <f>VLOOKUP($A213&amp;I$1,Table_Answers[],2,FALSE)</f>
        <v>Ikke angivet</v>
      </c>
      <c r="J213" s="178" t="str">
        <f>VLOOKUP($A213&amp;J$1,Table_Answers[],2,FALSE)</f>
        <v>Ikke angivet</v>
      </c>
      <c r="K213" s="189" t="str">
        <f>VLOOKUP($A213&amp;K$1,Table_Answers[],2,FALSE)</f>
        <v>Ikke angivet</v>
      </c>
      <c r="L213" s="257"/>
      <c r="M213" s="165"/>
      <c r="N213" s="250" t="s">
        <v>167</v>
      </c>
      <c r="O213" s="163"/>
      <c r="P213" s="79"/>
      <c r="Q213" s="77"/>
      <c r="R213" s="77"/>
      <c r="S213" s="77"/>
      <c r="T213" s="77"/>
      <c r="U213" s="77"/>
      <c r="V213" s="77"/>
      <c r="W213" s="77"/>
      <c r="X213" s="77"/>
      <c r="Y213" s="77"/>
      <c r="Z213" s="77"/>
    </row>
    <row r="214" spans="1:26" ht="108.75" hidden="1" customHeight="1" thickBot="1" x14ac:dyDescent="0.3">
      <c r="A214" s="76" t="s">
        <v>281</v>
      </c>
      <c r="B214" s="282" t="s">
        <v>85</v>
      </c>
      <c r="C214" s="79"/>
      <c r="D214" s="166"/>
      <c r="E214" s="293" t="s">
        <v>119</v>
      </c>
      <c r="F214" s="304"/>
      <c r="G214" s="178" t="str">
        <f>VLOOKUP($A214&amp;G$1,Table_Answers[],2,FALSE)</f>
        <v>Ikke angivet</v>
      </c>
      <c r="H214" s="178" t="str">
        <f>VLOOKUP($A214&amp;H$1,Table_Answers[],2,FALSE)</f>
        <v>Ikke angivet</v>
      </c>
      <c r="I214" s="179" t="str">
        <f>VLOOKUP($A214&amp;I$1,Table_Answers[],2,FALSE)</f>
        <v>Ikke angivet</v>
      </c>
      <c r="J214" s="178" t="str">
        <f>VLOOKUP($A214&amp;J$1,Table_Answers[],2,FALSE)</f>
        <v>Ikke angivet</v>
      </c>
      <c r="K214" s="180" t="str">
        <f>VLOOKUP($A214&amp;K$1,Table_Answers[],2,FALSE)</f>
        <v>Ikke angivet</v>
      </c>
      <c r="L214" s="257"/>
      <c r="M214" s="165"/>
      <c r="N214" s="250" t="s">
        <v>167</v>
      </c>
      <c r="O214" s="163"/>
      <c r="P214" s="79"/>
      <c r="Q214" s="77"/>
      <c r="R214" s="77"/>
      <c r="S214" s="77"/>
      <c r="T214" s="77"/>
      <c r="U214" s="77"/>
      <c r="V214" s="77"/>
      <c r="W214" s="77"/>
      <c r="X214" s="77"/>
      <c r="Y214" s="77"/>
      <c r="Z214" s="77"/>
    </row>
    <row r="215" spans="1:26" ht="143.25" hidden="1" customHeight="1" thickBot="1" x14ac:dyDescent="0.3">
      <c r="A215" s="76" t="s">
        <v>282</v>
      </c>
      <c r="B215" s="282" t="s">
        <v>86</v>
      </c>
      <c r="C215" s="79"/>
      <c r="D215" s="166"/>
      <c r="E215" s="302" t="s">
        <v>120</v>
      </c>
      <c r="F215" s="302"/>
      <c r="G215" s="178" t="str">
        <f>VLOOKUP($A215&amp;G$1,Table_Answers[],2,FALSE)</f>
        <v>Ikke angivet</v>
      </c>
      <c r="H215" s="178" t="str">
        <f>VLOOKUP($A215&amp;H$1,Table_Answers[],2,FALSE)</f>
        <v>Ikke angivet</v>
      </c>
      <c r="I215" s="178" t="str">
        <f>VLOOKUP($A215&amp;I$1,Table_Answers[],2,FALSE)</f>
        <v>Ikke angivet</v>
      </c>
      <c r="J215" s="179" t="str">
        <f>VLOOKUP($A215&amp;J$1,Table_Answers[],2,FALSE)</f>
        <v>Ikke angivet</v>
      </c>
      <c r="K215" s="180" t="str">
        <f>VLOOKUP($A215&amp;K$1,Table_Answers[],2,FALSE)</f>
        <v>Ikke angivet</v>
      </c>
      <c r="L215" s="252"/>
      <c r="M215" s="175"/>
      <c r="N215" s="165" t="s">
        <v>167</v>
      </c>
      <c r="O215" s="163"/>
      <c r="P215" s="79"/>
      <c r="Q215" s="77"/>
      <c r="R215" s="77"/>
      <c r="S215" s="77"/>
      <c r="T215" s="77"/>
      <c r="U215" s="77"/>
      <c r="V215" s="77"/>
      <c r="W215" s="77"/>
      <c r="X215" s="77"/>
      <c r="Y215" s="77"/>
      <c r="Z215" s="77"/>
    </row>
    <row r="216" spans="1:26" ht="144" hidden="1" customHeight="1" thickBot="1" x14ac:dyDescent="0.3">
      <c r="A216" s="76" t="s">
        <v>283</v>
      </c>
      <c r="B216" s="282" t="s">
        <v>87</v>
      </c>
      <c r="C216" s="79"/>
      <c r="E216" s="302" t="s">
        <v>121</v>
      </c>
      <c r="F216" s="305"/>
      <c r="G216" s="178" t="str">
        <f>VLOOKUP($A216&amp;G$1,Table_Answers[],2,FALSE)</f>
        <v>Ikke angivet</v>
      </c>
      <c r="H216" s="178" t="str">
        <f>VLOOKUP($A216&amp;H$1,Table_Answers[],2,FALSE)</f>
        <v>Ikke angivet</v>
      </c>
      <c r="I216" s="178" t="str">
        <f>VLOOKUP($A216&amp;I$1,Table_Answers[],2,FALSE)</f>
        <v>Ikke angivet</v>
      </c>
      <c r="J216" s="178" t="str">
        <f>VLOOKUP($A216&amp;J$1,Table_Answers[],2,FALSE)</f>
        <v>Ikke angivet</v>
      </c>
      <c r="K216" s="180" t="str">
        <f>VLOOKUP($A216&amp;K$1,Table_Answers[],2,FALSE)</f>
        <v>Ikke angivet</v>
      </c>
      <c r="L216" s="164"/>
      <c r="M216" s="175"/>
      <c r="N216" s="165" t="s">
        <v>167</v>
      </c>
      <c r="O216" s="163"/>
      <c r="P216" s="79"/>
      <c r="Q216" s="77"/>
      <c r="R216" s="77"/>
      <c r="S216" s="77"/>
      <c r="T216" s="77"/>
      <c r="U216" s="77"/>
      <c r="V216" s="77"/>
      <c r="W216" s="77"/>
      <c r="X216" s="77"/>
      <c r="Y216" s="77"/>
      <c r="Z216" s="77"/>
    </row>
    <row r="217" spans="1:26" ht="16.5" hidden="1" thickBot="1" x14ac:dyDescent="0.3">
      <c r="A217" s="76" t="s">
        <v>454</v>
      </c>
      <c r="B217" s="282"/>
      <c r="C217" s="79"/>
      <c r="E217" s="92"/>
      <c r="F217" s="48"/>
      <c r="G217" s="24"/>
      <c r="H217" s="24"/>
      <c r="I217" s="24"/>
      <c r="J217" s="24"/>
      <c r="K217" s="93">
        <f>V218</f>
        <v>0</v>
      </c>
      <c r="L217" s="93"/>
      <c r="M217" s="93"/>
      <c r="N217" s="93"/>
      <c r="O217" s="163"/>
      <c r="P217" s="79"/>
      <c r="Q217" s="77"/>
      <c r="R217" s="77"/>
      <c r="S217" s="77"/>
      <c r="T217" s="77"/>
      <c r="U217" s="77"/>
      <c r="V217" s="77"/>
      <c r="W217" s="77"/>
      <c r="X217" s="77"/>
      <c r="Y217" s="77"/>
      <c r="Z217" s="77"/>
    </row>
    <row r="218" spans="1:26" ht="86.25" hidden="1" customHeight="1" thickBot="1" x14ac:dyDescent="0.3">
      <c r="A218" s="76" t="s">
        <v>455</v>
      </c>
      <c r="B218" s="282" t="s">
        <v>426</v>
      </c>
      <c r="C218" s="79"/>
      <c r="E218" s="239"/>
      <c r="F218" s="298"/>
      <c r="G218" s="298"/>
      <c r="H218" s="298"/>
      <c r="I218" s="298"/>
      <c r="J218" s="298"/>
      <c r="K218" s="298"/>
      <c r="L218" s="274"/>
      <c r="M218" s="201"/>
      <c r="N218" s="250"/>
      <c r="O218" s="276"/>
      <c r="P218" s="79"/>
      <c r="Q218" s="77"/>
      <c r="R218" s="77"/>
      <c r="S218" s="77"/>
      <c r="T218" s="77"/>
      <c r="U218" s="77"/>
      <c r="V218" s="77"/>
      <c r="W218" s="77"/>
      <c r="X218" s="77"/>
      <c r="Y218" s="77"/>
      <c r="Z218" s="77"/>
    </row>
    <row r="219" spans="1:26" ht="60" hidden="1" customHeight="1" thickBot="1" x14ac:dyDescent="0.3">
      <c r="A219" s="76" t="s">
        <v>456</v>
      </c>
      <c r="B219" s="282" t="s">
        <v>427</v>
      </c>
      <c r="C219" s="79"/>
      <c r="E219" s="237"/>
      <c r="F219" s="301"/>
      <c r="G219" s="301"/>
      <c r="H219" s="301"/>
      <c r="I219" s="301"/>
      <c r="J219" s="301"/>
      <c r="K219" s="301"/>
      <c r="L219" s="271"/>
      <c r="M219" s="201"/>
      <c r="N219" s="272"/>
      <c r="O219" s="163"/>
      <c r="P219" s="79"/>
      <c r="Q219" s="77"/>
      <c r="R219" s="77"/>
      <c r="S219" s="77"/>
      <c r="T219" s="77"/>
      <c r="U219" s="77"/>
      <c r="V219" s="77"/>
      <c r="W219" s="77"/>
      <c r="X219" s="77"/>
      <c r="Y219" s="77"/>
      <c r="Z219" s="77"/>
    </row>
    <row r="220" spans="1:26" x14ac:dyDescent="0.25">
      <c r="B220" s="287"/>
      <c r="C220" s="287"/>
      <c r="D220" s="287"/>
      <c r="E220" s="287"/>
      <c r="F220" s="287"/>
      <c r="G220" s="287"/>
      <c r="H220" s="287"/>
      <c r="I220" s="287"/>
      <c r="J220" s="287"/>
      <c r="K220" s="287"/>
      <c r="L220" s="287"/>
      <c r="M220" s="287"/>
      <c r="N220" s="287"/>
      <c r="O220" s="287"/>
      <c r="P220" s="287"/>
      <c r="Q220" s="287"/>
      <c r="R220" s="287"/>
      <c r="S220" s="287"/>
      <c r="T220" s="287"/>
      <c r="U220" s="287"/>
      <c r="V220" s="287"/>
      <c r="W220" s="287"/>
      <c r="X220" s="287"/>
      <c r="Y220" s="287"/>
      <c r="Z220" s="287"/>
    </row>
    <row r="221" spans="1:26" x14ac:dyDescent="0.25"/>
    <row r="222" spans="1:26" x14ac:dyDescent="0.25"/>
    <row r="223" spans="1:26" x14ac:dyDescent="0.25"/>
    <row r="224" spans="1:26" x14ac:dyDescent="0.25"/>
    <row r="225" x14ac:dyDescent="0.25"/>
    <row r="226" x14ac:dyDescent="0.25"/>
  </sheetData>
  <sheetProtection formatRows="0"/>
  <dataConsolidate/>
  <mergeCells count="106">
    <mergeCell ref="S38:X39"/>
    <mergeCell ref="S58:X59"/>
    <mergeCell ref="S78:X79"/>
    <mergeCell ref="S98:X99"/>
    <mergeCell ref="S118:X119"/>
    <mergeCell ref="S138:X139"/>
    <mergeCell ref="S158:X159"/>
    <mergeCell ref="S178:X179"/>
    <mergeCell ref="S198:X199"/>
    <mergeCell ref="F118:K118"/>
    <mergeCell ref="E115:F115"/>
    <mergeCell ref="E95:F95"/>
    <mergeCell ref="E96:F96"/>
    <mergeCell ref="E103:K106"/>
    <mergeCell ref="E111:F111"/>
    <mergeCell ref="E94:F94"/>
    <mergeCell ref="E98:K98"/>
    <mergeCell ref="E102:K102"/>
    <mergeCell ref="E114:F114"/>
    <mergeCell ref="E54:F54"/>
    <mergeCell ref="E55:F55"/>
    <mergeCell ref="E83:K86"/>
    <mergeCell ref="E91:F91"/>
    <mergeCell ref="E92:F92"/>
    <mergeCell ref="F58:K58"/>
    <mergeCell ref="E93:F93"/>
    <mergeCell ref="E82:K82"/>
    <mergeCell ref="F78:K78"/>
    <mergeCell ref="E23:K26"/>
    <mergeCell ref="E31:F31"/>
    <mergeCell ref="G9:H9"/>
    <mergeCell ref="G13:H13"/>
    <mergeCell ref="G15:H15"/>
    <mergeCell ref="G17:H17"/>
    <mergeCell ref="G11:H11"/>
    <mergeCell ref="E21:K21"/>
    <mergeCell ref="E36:F36"/>
    <mergeCell ref="E22:K22"/>
    <mergeCell ref="E32:F32"/>
    <mergeCell ref="E33:F33"/>
    <mergeCell ref="E123:K126"/>
    <mergeCell ref="E131:F131"/>
    <mergeCell ref="E132:F132"/>
    <mergeCell ref="E133:F133"/>
    <mergeCell ref="E34:F34"/>
    <mergeCell ref="E112:F112"/>
    <mergeCell ref="E113:F113"/>
    <mergeCell ref="E122:K122"/>
    <mergeCell ref="E43:K46"/>
    <mergeCell ref="E51:F51"/>
    <mergeCell ref="E52:F52"/>
    <mergeCell ref="E76:F76"/>
    <mergeCell ref="E56:F56"/>
    <mergeCell ref="E63:K66"/>
    <mergeCell ref="E71:F71"/>
    <mergeCell ref="E72:F72"/>
    <mergeCell ref="E73:F73"/>
    <mergeCell ref="E74:F74"/>
    <mergeCell ref="E75:F75"/>
    <mergeCell ref="E62:K62"/>
    <mergeCell ref="E53:F53"/>
    <mergeCell ref="E35:F35"/>
    <mergeCell ref="E42:K42"/>
    <mergeCell ref="F38:K38"/>
    <mergeCell ref="E134:F134"/>
    <mergeCell ref="E116:F116"/>
    <mergeCell ref="E215:F215"/>
    <mergeCell ref="E211:F211"/>
    <mergeCell ref="E212:F212"/>
    <mergeCell ref="E213:F213"/>
    <mergeCell ref="E214:F214"/>
    <mergeCell ref="E216:F216"/>
    <mergeCell ref="F158:K158"/>
    <mergeCell ref="E182:K182"/>
    <mergeCell ref="E195:F195"/>
    <mergeCell ref="E196:F196"/>
    <mergeCell ref="E203:K206"/>
    <mergeCell ref="E183:K186"/>
    <mergeCell ref="E191:F191"/>
    <mergeCell ref="E192:F192"/>
    <mergeCell ref="E193:F193"/>
    <mergeCell ref="E194:F194"/>
    <mergeCell ref="E173:F173"/>
    <mergeCell ref="E174:F174"/>
    <mergeCell ref="E175:F175"/>
    <mergeCell ref="E176:F176"/>
    <mergeCell ref="E163:K166"/>
    <mergeCell ref="E202:K202"/>
    <mergeCell ref="E135:F135"/>
    <mergeCell ref="E136:F136"/>
    <mergeCell ref="E143:K146"/>
    <mergeCell ref="E151:F151"/>
    <mergeCell ref="F138:L138"/>
    <mergeCell ref="E142:K142"/>
    <mergeCell ref="F218:K218"/>
    <mergeCell ref="F219:K219"/>
    <mergeCell ref="F198:K198"/>
    <mergeCell ref="F178:K178"/>
    <mergeCell ref="E154:F154"/>
    <mergeCell ref="E152:F152"/>
    <mergeCell ref="E153:F153"/>
    <mergeCell ref="E156:F156"/>
    <mergeCell ref="E155:F155"/>
    <mergeCell ref="E171:F171"/>
    <mergeCell ref="E172:F172"/>
    <mergeCell ref="E162:K162"/>
  </mergeCells>
  <conditionalFormatting sqref="G37:N37 G31:L34 G40:N40 M31:M33 G221:N1048576">
    <cfRule type="containsText" dxfId="234" priority="817" operator="containsText" text="Ikke relevant">
      <formula>NOT(ISERROR(SEARCH("Ikke relevant",G31)))</formula>
    </cfRule>
  </conditionalFormatting>
  <conditionalFormatting sqref="G57:N57 G51:L53 G60:N60 L58">
    <cfRule type="containsText" dxfId="233" priority="466" operator="containsText" text="Ikke relevant">
      <formula>NOT(ISERROR(SEARCH("Ikke relevant",G51)))</formula>
    </cfRule>
  </conditionalFormatting>
  <conditionalFormatting sqref="G77:N77 G71:L74 G80:N80 L78">
    <cfRule type="containsText" dxfId="232" priority="444" operator="containsText" text="Ikke relevant">
      <formula>NOT(ISERROR(SEARCH("Ikke relevant",G71)))</formula>
    </cfRule>
  </conditionalFormatting>
  <conditionalFormatting sqref="G75:L75">
    <cfRule type="containsText" dxfId="231" priority="443" operator="containsText" text="Ikke relevant">
      <formula>NOT(ISERROR(SEARCH("Ikke relevant",G75)))</formula>
    </cfRule>
  </conditionalFormatting>
  <conditionalFormatting sqref="G76">
    <cfRule type="containsText" dxfId="230" priority="441" operator="containsText" text="Ikke relevant">
      <formula>NOT(ISERROR(SEARCH("Ikke relevant",G76)))</formula>
    </cfRule>
  </conditionalFormatting>
  <conditionalFormatting sqref="H76">
    <cfRule type="containsText" dxfId="229" priority="440" operator="containsText" text="Ikke relevant">
      <formula>NOT(ISERROR(SEARCH("Ikke relevant",H76)))</formula>
    </cfRule>
  </conditionalFormatting>
  <conditionalFormatting sqref="I76">
    <cfRule type="containsText" dxfId="228" priority="439" operator="containsText" text="Ikke relevant">
      <formula>NOT(ISERROR(SEARCH("Ikke relevant",I76)))</formula>
    </cfRule>
  </conditionalFormatting>
  <conditionalFormatting sqref="J76">
    <cfRule type="containsText" dxfId="227" priority="438" operator="containsText" text="Ikke relevant">
      <formula>NOT(ISERROR(SEARCH("Ikke relevant",J76)))</formula>
    </cfRule>
  </conditionalFormatting>
  <conditionalFormatting sqref="K76:L76">
    <cfRule type="containsText" dxfId="226" priority="437" operator="containsText" text="Ikke relevant">
      <formula>NOT(ISERROR(SEARCH("Ikke relevant",K76)))</formula>
    </cfRule>
  </conditionalFormatting>
  <conditionalFormatting sqref="G97:N97 G91:L94 G100:N100 L98">
    <cfRule type="containsText" dxfId="225" priority="433" operator="containsText" text="Ikke relevant">
      <formula>NOT(ISERROR(SEARCH("Ikke relevant",G91)))</formula>
    </cfRule>
  </conditionalFormatting>
  <conditionalFormatting sqref="G95:L95">
    <cfRule type="containsText" dxfId="224" priority="432" operator="containsText" text="Ikke relevant">
      <formula>NOT(ISERROR(SEARCH("Ikke relevant",G95)))</formula>
    </cfRule>
  </conditionalFormatting>
  <conditionalFormatting sqref="G117:N117 G111:L114 G120:N120 L118">
    <cfRule type="containsText" dxfId="223" priority="422" operator="containsText" text="Ikke relevant">
      <formula>NOT(ISERROR(SEARCH("Ikke relevant",G111)))</formula>
    </cfRule>
  </conditionalFormatting>
  <conditionalFormatting sqref="G115:L115">
    <cfRule type="containsText" dxfId="222" priority="421" operator="containsText" text="Ikke relevant">
      <formula>NOT(ISERROR(SEARCH("Ikke relevant",G115)))</formula>
    </cfRule>
  </conditionalFormatting>
  <conditionalFormatting sqref="G137:N137 G140:N140 G131:L134">
    <cfRule type="containsText" dxfId="221" priority="411" operator="containsText" text="Ikke relevant">
      <formula>NOT(ISERROR(SEARCH("Ikke relevant",G131)))</formula>
    </cfRule>
  </conditionalFormatting>
  <conditionalFormatting sqref="G157:N157 G151:L152 G160:N160 L158">
    <cfRule type="containsText" dxfId="220" priority="400" operator="containsText" text="Ikke relevant">
      <formula>NOT(ISERROR(SEARCH("Ikke relevant",G151)))</formula>
    </cfRule>
  </conditionalFormatting>
  <conditionalFormatting sqref="M34">
    <cfRule type="containsText" dxfId="219" priority="385" operator="containsText" text="Ikke relevant">
      <formula>NOT(ISERROR(SEARCH("Ikke relevant",M34)))</formula>
    </cfRule>
  </conditionalFormatting>
  <conditionalFormatting sqref="M51:M53">
    <cfRule type="containsText" dxfId="218" priority="383" operator="containsText" text="Ikke relevant">
      <formula>NOT(ISERROR(SEARCH("Ikke relevant",M51)))</formula>
    </cfRule>
  </conditionalFormatting>
  <conditionalFormatting sqref="M71:M73">
    <cfRule type="containsText" dxfId="217" priority="379" operator="containsText" text="Ikke relevant">
      <formula>NOT(ISERROR(SEARCH("Ikke relevant",M71)))</formula>
    </cfRule>
  </conditionalFormatting>
  <conditionalFormatting sqref="M74">
    <cfRule type="containsText" dxfId="216" priority="377" operator="containsText" text="Ikke relevant">
      <formula>NOT(ISERROR(SEARCH("Ikke relevant",M74)))</formula>
    </cfRule>
  </conditionalFormatting>
  <conditionalFormatting sqref="M76">
    <cfRule type="containsText" dxfId="215" priority="376" operator="containsText" text="Ikke relevant">
      <formula>NOT(ISERROR(SEARCH("Ikke relevant",M76)))</formula>
    </cfRule>
  </conditionalFormatting>
  <conditionalFormatting sqref="M91:M93">
    <cfRule type="containsText" dxfId="214" priority="375" operator="containsText" text="Ikke relevant">
      <formula>NOT(ISERROR(SEARCH("Ikke relevant",M91)))</formula>
    </cfRule>
  </conditionalFormatting>
  <conditionalFormatting sqref="M95">
    <cfRule type="containsText" dxfId="213" priority="374" operator="containsText" text="Ikke relevant">
      <formula>NOT(ISERROR(SEARCH("Ikke relevant",M95)))</formula>
    </cfRule>
  </conditionalFormatting>
  <conditionalFormatting sqref="M94">
    <cfRule type="containsText" dxfId="212" priority="373" operator="containsText" text="Ikke relevant">
      <formula>NOT(ISERROR(SEARCH("Ikke relevant",M94)))</formula>
    </cfRule>
  </conditionalFormatting>
  <conditionalFormatting sqref="M111:M114">
    <cfRule type="containsText" dxfId="211" priority="371" operator="containsText" text="Ikke relevant">
      <formula>NOT(ISERROR(SEARCH("Ikke relevant",M111)))</formula>
    </cfRule>
  </conditionalFormatting>
  <conditionalFormatting sqref="M115">
    <cfRule type="containsText" dxfId="210" priority="370" operator="containsText" text="Ikke relevant">
      <formula>NOT(ISERROR(SEARCH("Ikke relevant",M115)))</formula>
    </cfRule>
  </conditionalFormatting>
  <conditionalFormatting sqref="M131:M133">
    <cfRule type="containsText" dxfId="209" priority="367" operator="containsText" text="Ikke relevant">
      <formula>NOT(ISERROR(SEARCH("Ikke relevant",M131)))</formula>
    </cfRule>
  </conditionalFormatting>
  <conditionalFormatting sqref="M151:M152">
    <cfRule type="containsText" dxfId="208" priority="363" operator="containsText" text="Ikke relevant">
      <formula>NOT(ISERROR(SEARCH("Ikke relevant",M151)))</formula>
    </cfRule>
  </conditionalFormatting>
  <conditionalFormatting sqref="G177:N177 G171:L174 G180:N180 L178">
    <cfRule type="containsText" dxfId="207" priority="351" operator="containsText" text="Ikke relevant">
      <formula>NOT(ISERROR(SEARCH("Ikke relevant",G171)))</formula>
    </cfRule>
  </conditionalFormatting>
  <conditionalFormatting sqref="M171:M173">
    <cfRule type="containsText" dxfId="206" priority="342" operator="containsText" text="Ikke relevant">
      <formula>NOT(ISERROR(SEARCH("Ikke relevant",M171)))</formula>
    </cfRule>
  </conditionalFormatting>
  <conditionalFormatting sqref="M174">
    <cfRule type="containsText" dxfId="205" priority="340" operator="containsText" text="Ikke relevant">
      <formula>NOT(ISERROR(SEARCH("Ikke relevant",M174)))</formula>
    </cfRule>
  </conditionalFormatting>
  <conditionalFormatting sqref="G197:N197 G191:L194 G200:N200 L198">
    <cfRule type="containsText" dxfId="204" priority="331" operator="containsText" text="Ikke relevant">
      <formula>NOT(ISERROR(SEARCH("Ikke relevant",G191)))</formula>
    </cfRule>
  </conditionalFormatting>
  <conditionalFormatting sqref="M191:M193">
    <cfRule type="containsText" dxfId="203" priority="322" operator="containsText" text="Ikke relevant">
      <formula>NOT(ISERROR(SEARCH("Ikke relevant",M191)))</formula>
    </cfRule>
  </conditionalFormatting>
  <conditionalFormatting sqref="M194">
    <cfRule type="containsText" dxfId="202" priority="320" operator="containsText" text="Ikke relevant">
      <formula>NOT(ISERROR(SEARCH("Ikke relevant",M194)))</formula>
    </cfRule>
  </conditionalFormatting>
  <conditionalFormatting sqref="M134">
    <cfRule type="containsText" dxfId="201" priority="252" operator="containsText" text="Ikke relevant">
      <formula>NOT(ISERROR(SEARCH("Ikke relevant",M134)))</formula>
    </cfRule>
  </conditionalFormatting>
  <conditionalFormatting sqref="M39">
    <cfRule type="containsText" dxfId="200" priority="226" operator="containsText" text="Ikke relevant">
      <formula>NOT(ISERROR(SEARCH("Ikke relevant",M39)))</formula>
    </cfRule>
  </conditionalFormatting>
  <conditionalFormatting sqref="N31">
    <cfRule type="containsText" dxfId="199" priority="201" operator="containsText" text="Ikke relevant">
      <formula>NOT(ISERROR(SEARCH("Ikke relevant",N31)))</formula>
    </cfRule>
  </conditionalFormatting>
  <conditionalFormatting sqref="N32">
    <cfRule type="containsText" dxfId="198" priority="200" operator="containsText" text="Ikke relevant">
      <formula>NOT(ISERROR(SEARCH("Ikke relevant",N32)))</formula>
    </cfRule>
  </conditionalFormatting>
  <conditionalFormatting sqref="N33">
    <cfRule type="containsText" dxfId="197" priority="199" operator="containsText" text="Ikke relevant">
      <formula>NOT(ISERROR(SEARCH("Ikke relevant",N33)))</formula>
    </cfRule>
  </conditionalFormatting>
  <conditionalFormatting sqref="N34">
    <cfRule type="containsText" dxfId="196" priority="198" operator="containsText" text="Ikke relevant">
      <formula>NOT(ISERROR(SEARCH("Ikke relevant",N34)))</formula>
    </cfRule>
  </conditionalFormatting>
  <conditionalFormatting sqref="N51">
    <cfRule type="containsText" dxfId="195" priority="197" operator="containsText" text="Ikke relevant">
      <formula>NOT(ISERROR(SEARCH("Ikke relevant",N51)))</formula>
    </cfRule>
  </conditionalFormatting>
  <conditionalFormatting sqref="N52:N53">
    <cfRule type="containsText" dxfId="194" priority="196" operator="containsText" text="Ikke relevant">
      <formula>NOT(ISERROR(SEARCH("Ikke relevant",N52)))</formula>
    </cfRule>
  </conditionalFormatting>
  <conditionalFormatting sqref="N71:N74">
    <cfRule type="containsText" dxfId="193" priority="195" operator="containsText" text="Ikke relevant">
      <formula>NOT(ISERROR(SEARCH("Ikke relevant",N71)))</formula>
    </cfRule>
  </conditionalFormatting>
  <conditionalFormatting sqref="N75:N76">
    <cfRule type="containsText" dxfId="192" priority="194" operator="containsText" text="Ikke relevant">
      <formula>NOT(ISERROR(SEARCH("Ikke relevant",N75)))</formula>
    </cfRule>
  </conditionalFormatting>
  <conditionalFormatting sqref="M75">
    <cfRule type="containsText" dxfId="191" priority="193" operator="containsText" text="Ikke relevant">
      <formula>NOT(ISERROR(SEARCH("Ikke relevant",M75)))</formula>
    </cfRule>
  </conditionalFormatting>
  <conditionalFormatting sqref="N91:N94">
    <cfRule type="containsText" dxfId="190" priority="192" operator="containsText" text="Ikke relevant">
      <formula>NOT(ISERROR(SEARCH("Ikke relevant",N91)))</formula>
    </cfRule>
  </conditionalFormatting>
  <conditionalFormatting sqref="N95">
    <cfRule type="containsText" dxfId="189" priority="191" operator="containsText" text="Ikke relevant">
      <formula>NOT(ISERROR(SEARCH("Ikke relevant",N95)))</formula>
    </cfRule>
  </conditionalFormatting>
  <conditionalFormatting sqref="N111:N113 N115">
    <cfRule type="containsText" dxfId="188" priority="190" operator="containsText" text="Ikke relevant">
      <formula>NOT(ISERROR(SEARCH("Ikke relevant",N111)))</formula>
    </cfRule>
  </conditionalFormatting>
  <conditionalFormatting sqref="N114">
    <cfRule type="containsText" dxfId="187" priority="189" operator="containsText" text="Ikke relevant">
      <formula>NOT(ISERROR(SEARCH("Ikke relevant",N114)))</formula>
    </cfRule>
  </conditionalFormatting>
  <conditionalFormatting sqref="N131:N134">
    <cfRule type="containsText" dxfId="186" priority="188" operator="containsText" text="Ikke relevant">
      <formula>NOT(ISERROR(SEARCH("Ikke relevant",N131)))</formula>
    </cfRule>
  </conditionalFormatting>
  <conditionalFormatting sqref="N151:N152">
    <cfRule type="containsText" dxfId="185" priority="187" operator="containsText" text="Ikke relevant">
      <formula>NOT(ISERROR(SEARCH("Ikke relevant",N151)))</formula>
    </cfRule>
  </conditionalFormatting>
  <conditionalFormatting sqref="N171:N174">
    <cfRule type="containsText" dxfId="184" priority="186" operator="containsText" text="Ikke relevant">
      <formula>NOT(ISERROR(SEARCH("Ikke relevant",N171)))</formula>
    </cfRule>
  </conditionalFormatting>
  <conditionalFormatting sqref="N191:N194">
    <cfRule type="containsText" dxfId="183" priority="185" operator="containsText" text="Ikke relevant">
      <formula>NOT(ISERROR(SEARCH("Ikke relevant",N191)))</formula>
    </cfRule>
  </conditionalFormatting>
  <conditionalFormatting sqref="N38">
    <cfRule type="containsText" dxfId="182" priority="184" operator="containsText" text="Ikke relevant">
      <formula>NOT(ISERROR(SEARCH("Ikke relevant",N38)))</formula>
    </cfRule>
  </conditionalFormatting>
  <conditionalFormatting sqref="L38">
    <cfRule type="containsText" dxfId="181" priority="180" operator="containsText" text="Ikke relevant">
      <formula>NOT(ISERROR(SEARCH("Ikke relevant",L38)))</formula>
    </cfRule>
  </conditionalFormatting>
  <conditionalFormatting sqref="L39">
    <cfRule type="containsText" dxfId="180" priority="179" operator="containsText" text="Ikke relevant">
      <formula>NOT(ISERROR(SEARCH("Ikke relevant",L39)))</formula>
    </cfRule>
  </conditionalFormatting>
  <conditionalFormatting sqref="M38">
    <cfRule type="containsText" dxfId="179" priority="178" operator="containsText" text="Ikke relevant">
      <formula>NOT(ISERROR(SEARCH("Ikke relevant",M38)))</formula>
    </cfRule>
  </conditionalFormatting>
  <conditionalFormatting sqref="M58">
    <cfRule type="containsText" dxfId="178" priority="176" operator="containsText" text="Ikke relevant">
      <formula>NOT(ISERROR(SEARCH("Ikke relevant",M58)))</formula>
    </cfRule>
  </conditionalFormatting>
  <conditionalFormatting sqref="N58">
    <cfRule type="containsText" dxfId="177" priority="175" operator="containsText" text="Ikke relevant">
      <formula>NOT(ISERROR(SEARCH("Ikke relevant",N58)))</formula>
    </cfRule>
  </conditionalFormatting>
  <conditionalFormatting sqref="M59">
    <cfRule type="containsText" dxfId="176" priority="174" operator="containsText" text="Ikke relevant">
      <formula>NOT(ISERROR(SEARCH("Ikke relevant",M59)))</formula>
    </cfRule>
  </conditionalFormatting>
  <conditionalFormatting sqref="L59">
    <cfRule type="containsText" dxfId="175" priority="172" operator="containsText" text="Ikke relevant">
      <formula>NOT(ISERROR(SEARCH("Ikke relevant",L59)))</formula>
    </cfRule>
  </conditionalFormatting>
  <conditionalFormatting sqref="M78">
    <cfRule type="containsText" dxfId="174" priority="171" operator="containsText" text="Ikke relevant">
      <formula>NOT(ISERROR(SEARCH("Ikke relevant",M78)))</formula>
    </cfRule>
  </conditionalFormatting>
  <conditionalFormatting sqref="N78">
    <cfRule type="containsText" dxfId="173" priority="170" operator="containsText" text="Ikke relevant">
      <formula>NOT(ISERROR(SEARCH("Ikke relevant",N78)))</formula>
    </cfRule>
  </conditionalFormatting>
  <conditionalFormatting sqref="M79">
    <cfRule type="containsText" dxfId="172" priority="168" operator="containsText" text="Ikke relevant">
      <formula>NOT(ISERROR(SEARCH("Ikke relevant",M79)))</formula>
    </cfRule>
  </conditionalFormatting>
  <conditionalFormatting sqref="M98">
    <cfRule type="containsText" dxfId="171" priority="167" operator="containsText" text="Ikke relevant">
      <formula>NOT(ISERROR(SEARCH("Ikke relevant",M98)))</formula>
    </cfRule>
  </conditionalFormatting>
  <conditionalFormatting sqref="N98">
    <cfRule type="containsText" dxfId="170" priority="165" operator="containsText" text="Ikke relevant">
      <formula>NOT(ISERROR(SEARCH("Ikke relevant",N98)))</formula>
    </cfRule>
  </conditionalFormatting>
  <conditionalFormatting sqref="M99">
    <cfRule type="containsText" dxfId="169" priority="164" operator="containsText" text="Ikke relevant">
      <formula>NOT(ISERROR(SEARCH("Ikke relevant",M99)))</formula>
    </cfRule>
  </conditionalFormatting>
  <conditionalFormatting sqref="L79">
    <cfRule type="containsText" dxfId="168" priority="163" operator="containsText" text="Ikke relevant">
      <formula>NOT(ISERROR(SEARCH("Ikke relevant",L79)))</formula>
    </cfRule>
  </conditionalFormatting>
  <conditionalFormatting sqref="L99">
    <cfRule type="containsText" dxfId="167" priority="162" operator="containsText" text="Ikke relevant">
      <formula>NOT(ISERROR(SEARCH("Ikke relevant",L99)))</formula>
    </cfRule>
  </conditionalFormatting>
  <conditionalFormatting sqref="L119">
    <cfRule type="containsText" dxfId="166" priority="161" operator="containsText" text="Ikke relevant">
      <formula>NOT(ISERROR(SEARCH("Ikke relevant",L119)))</formula>
    </cfRule>
  </conditionalFormatting>
  <conditionalFormatting sqref="M118">
    <cfRule type="containsText" dxfId="165" priority="160" operator="containsText" text="Ikke relevant">
      <formula>NOT(ISERROR(SEARCH("Ikke relevant",M118)))</formula>
    </cfRule>
  </conditionalFormatting>
  <conditionalFormatting sqref="N118">
    <cfRule type="containsText" dxfId="164" priority="158" operator="containsText" text="Ikke relevant">
      <formula>NOT(ISERROR(SEARCH("Ikke relevant",N118)))</formula>
    </cfRule>
  </conditionalFormatting>
  <conditionalFormatting sqref="M119">
    <cfRule type="containsText" dxfId="163" priority="157" operator="containsText" text="Ikke relevant">
      <formula>NOT(ISERROR(SEARCH("Ikke relevant",M119)))</formula>
    </cfRule>
  </conditionalFormatting>
  <conditionalFormatting sqref="N138">
    <cfRule type="containsText" dxfId="162" priority="154" operator="containsText" text="Ikke relevant">
      <formula>NOT(ISERROR(SEARCH("Ikke relevant",N138)))</formula>
    </cfRule>
  </conditionalFormatting>
  <conditionalFormatting sqref="M139">
    <cfRule type="containsText" dxfId="161" priority="153" operator="containsText" text="Ikke relevant">
      <formula>NOT(ISERROR(SEARCH("Ikke relevant",M139)))</formula>
    </cfRule>
  </conditionalFormatting>
  <conditionalFormatting sqref="L139">
    <cfRule type="containsText" dxfId="160" priority="152" operator="containsText" text="Ikke relevant">
      <formula>NOT(ISERROR(SEARCH("Ikke relevant",L139)))</formula>
    </cfRule>
  </conditionalFormatting>
  <conditionalFormatting sqref="L159">
    <cfRule type="containsText" dxfId="159" priority="151" operator="containsText" text="Ikke relevant">
      <formula>NOT(ISERROR(SEARCH("Ikke relevant",L159)))</formula>
    </cfRule>
  </conditionalFormatting>
  <conditionalFormatting sqref="M159">
    <cfRule type="containsText" dxfId="158" priority="149" operator="containsText" text="Ikke relevant">
      <formula>NOT(ISERROR(SEARCH("Ikke relevant",M159)))</formula>
    </cfRule>
  </conditionalFormatting>
  <conditionalFormatting sqref="N158">
    <cfRule type="containsText" dxfId="157" priority="148" operator="containsText" text="Ikke relevant">
      <formula>NOT(ISERROR(SEARCH("Ikke relevant",N158)))</formula>
    </cfRule>
  </conditionalFormatting>
  <conditionalFormatting sqref="M138">
    <cfRule type="containsText" dxfId="156" priority="146" operator="containsText" text="Ikke relevant">
      <formula>NOT(ISERROR(SEARCH("Ikke relevant",M138)))</formula>
    </cfRule>
  </conditionalFormatting>
  <conditionalFormatting sqref="M158">
    <cfRule type="containsText" dxfId="155" priority="145" operator="containsText" text="Ikke relevant">
      <formula>NOT(ISERROR(SEARCH("Ikke relevant",M158)))</formula>
    </cfRule>
  </conditionalFormatting>
  <conditionalFormatting sqref="M178">
    <cfRule type="containsText" dxfId="154" priority="144" operator="containsText" text="Ikke relevant">
      <formula>NOT(ISERROR(SEARCH("Ikke relevant",M178)))</formula>
    </cfRule>
  </conditionalFormatting>
  <conditionalFormatting sqref="M179">
    <cfRule type="containsText" dxfId="153" priority="143" operator="containsText" text="Ikke relevant">
      <formula>NOT(ISERROR(SEARCH("Ikke relevant",M179)))</formula>
    </cfRule>
  </conditionalFormatting>
  <conditionalFormatting sqref="N178">
    <cfRule type="containsText" dxfId="152" priority="142" operator="containsText" text="Ikke relevant">
      <formula>NOT(ISERROR(SEARCH("Ikke relevant",N178)))</formula>
    </cfRule>
  </conditionalFormatting>
  <conditionalFormatting sqref="M198">
    <cfRule type="containsText" dxfId="151" priority="140" operator="containsText" text="Ikke relevant">
      <formula>NOT(ISERROR(SEARCH("Ikke relevant",M198)))</formula>
    </cfRule>
  </conditionalFormatting>
  <conditionalFormatting sqref="N198">
    <cfRule type="containsText" dxfId="150" priority="139" operator="containsText" text="Ikke relevant">
      <formula>NOT(ISERROR(SEARCH("Ikke relevant",N198)))</formula>
    </cfRule>
  </conditionalFormatting>
  <conditionalFormatting sqref="M199">
    <cfRule type="containsText" dxfId="149" priority="137" operator="containsText" text="Ikke relevant">
      <formula>NOT(ISERROR(SEARCH("Ikke relevant",M199)))</formula>
    </cfRule>
  </conditionalFormatting>
  <conditionalFormatting sqref="L179">
    <cfRule type="containsText" dxfId="148" priority="136" operator="containsText" text="Ikke relevant">
      <formula>NOT(ISERROR(SEARCH("Ikke relevant",L179)))</formula>
    </cfRule>
  </conditionalFormatting>
  <conditionalFormatting sqref="L199">
    <cfRule type="containsText" dxfId="147" priority="135" operator="containsText" text="Ikke relevant">
      <formula>NOT(ISERROR(SEARCH("Ikke relevant",L199)))</formula>
    </cfRule>
  </conditionalFormatting>
  <conditionalFormatting sqref="G217:N217 G211:L214 L218">
    <cfRule type="containsText" dxfId="146" priority="113" operator="containsText" text="Ikke relevant">
      <formula>NOT(ISERROR(SEARCH("Ikke relevant",G211)))</formula>
    </cfRule>
  </conditionalFormatting>
  <conditionalFormatting sqref="G215:L215">
    <cfRule type="containsText" dxfId="145" priority="112" operator="containsText" text="Ikke relevant">
      <formula>NOT(ISERROR(SEARCH("Ikke relevant",G215)))</formula>
    </cfRule>
  </conditionalFormatting>
  <conditionalFormatting sqref="G216">
    <cfRule type="containsText" dxfId="144" priority="111" operator="containsText" text="Ikke relevant">
      <formula>NOT(ISERROR(SEARCH("Ikke relevant",G216)))</formula>
    </cfRule>
  </conditionalFormatting>
  <conditionalFormatting sqref="H216">
    <cfRule type="containsText" dxfId="143" priority="110" operator="containsText" text="Ikke relevant">
      <formula>NOT(ISERROR(SEARCH("Ikke relevant",H216)))</formula>
    </cfRule>
  </conditionalFormatting>
  <conditionalFormatting sqref="I216">
    <cfRule type="containsText" dxfId="142" priority="109" operator="containsText" text="Ikke relevant">
      <formula>NOT(ISERROR(SEARCH("Ikke relevant",I216)))</formula>
    </cfRule>
  </conditionalFormatting>
  <conditionalFormatting sqref="K216:L216">
    <cfRule type="containsText" dxfId="141" priority="108" operator="containsText" text="Ikke relevant">
      <formula>NOT(ISERROR(SEARCH("Ikke relevant",K216)))</formula>
    </cfRule>
  </conditionalFormatting>
  <conditionalFormatting sqref="J216">
    <cfRule type="containsText" dxfId="140" priority="107" operator="containsText" text="Ikke relevant">
      <formula>NOT(ISERROR(SEARCH("Ikke relevant",J216)))</formula>
    </cfRule>
  </conditionalFormatting>
  <conditionalFormatting sqref="M211:M213">
    <cfRule type="containsText" dxfId="139" priority="106" operator="containsText" text="Ikke relevant">
      <formula>NOT(ISERROR(SEARCH("Ikke relevant",M211)))</formula>
    </cfRule>
  </conditionalFormatting>
  <conditionalFormatting sqref="N215">
    <cfRule type="containsText" dxfId="138" priority="105" operator="containsText" text="Ikke relevant">
      <formula>NOT(ISERROR(SEARCH("Ikke relevant",N215)))</formula>
    </cfRule>
  </conditionalFormatting>
  <conditionalFormatting sqref="M214">
    <cfRule type="containsText" dxfId="137" priority="104" operator="containsText" text="Ikke relevant">
      <formula>NOT(ISERROR(SEARCH("Ikke relevant",M214)))</formula>
    </cfRule>
  </conditionalFormatting>
  <conditionalFormatting sqref="N216">
    <cfRule type="containsText" dxfId="136" priority="103" operator="containsText" text="Ikke relevant">
      <formula>NOT(ISERROR(SEARCH("Ikke relevant",N216)))</formula>
    </cfRule>
  </conditionalFormatting>
  <conditionalFormatting sqref="M215:M216">
    <cfRule type="containsText" dxfId="135" priority="97" operator="containsText" text="Ikke relevant">
      <formula>NOT(ISERROR(SEARCH("Ikke relevant",M215)))</formula>
    </cfRule>
  </conditionalFormatting>
  <conditionalFormatting sqref="N211:N214">
    <cfRule type="containsText" dxfId="134" priority="96" operator="containsText" text="Ikke relevant">
      <formula>NOT(ISERROR(SEARCH("Ikke relevant",N211)))</formula>
    </cfRule>
  </conditionalFormatting>
  <conditionalFormatting sqref="M218">
    <cfRule type="containsText" dxfId="133" priority="95" operator="containsText" text="Ikke relevant">
      <formula>NOT(ISERROR(SEARCH("Ikke relevant",M218)))</formula>
    </cfRule>
  </conditionalFormatting>
  <conditionalFormatting sqref="N218">
    <cfRule type="containsText" dxfId="132" priority="94" operator="containsText" text="Ikke relevant">
      <formula>NOT(ISERROR(SEARCH("Ikke relevant",N218)))</formula>
    </cfRule>
  </conditionalFormatting>
  <conditionalFormatting sqref="M219">
    <cfRule type="containsText" dxfId="131" priority="93" operator="containsText" text="Ikke relevant">
      <formula>NOT(ISERROR(SEARCH("Ikke relevant",M219)))</formula>
    </cfRule>
  </conditionalFormatting>
  <conditionalFormatting sqref="L219">
    <cfRule type="containsText" dxfId="130" priority="92" operator="containsText" text="Ikke relevant">
      <formula>NOT(ISERROR(SEARCH("Ikke relevant",L219)))</formula>
    </cfRule>
  </conditionalFormatting>
  <conditionalFormatting sqref="G135:L136">
    <cfRule type="containsText" dxfId="129" priority="80" operator="containsText" text="Ikke relevant">
      <formula>NOT(ISERROR(SEARCH("Ikke relevant",G135)))</formula>
    </cfRule>
  </conditionalFormatting>
  <conditionalFormatting sqref="M135:M136">
    <cfRule type="containsText" dxfId="128" priority="74" operator="containsText" text="Ikke relevant">
      <formula>NOT(ISERROR(SEARCH("Ikke relevant",M135)))</formula>
    </cfRule>
  </conditionalFormatting>
  <conditionalFormatting sqref="N135:N136">
    <cfRule type="containsText" dxfId="127" priority="73" operator="containsText" text="Ikke relevant">
      <formula>NOT(ISERROR(SEARCH("Ikke relevant",N135)))</formula>
    </cfRule>
  </conditionalFormatting>
  <conditionalFormatting sqref="G195:L196">
    <cfRule type="containsText" dxfId="126" priority="66" operator="containsText" text="Ikke relevant">
      <formula>NOT(ISERROR(SEARCH("Ikke relevant",G195)))</formula>
    </cfRule>
  </conditionalFormatting>
  <conditionalFormatting sqref="M195:M196">
    <cfRule type="containsText" dxfId="125" priority="65" operator="containsText" text="Ikke relevant">
      <formula>NOT(ISERROR(SEARCH("Ikke relevant",M195)))</formula>
    </cfRule>
  </conditionalFormatting>
  <conditionalFormatting sqref="N195:N196">
    <cfRule type="containsText" dxfId="124" priority="64" operator="containsText" text="Ikke relevant">
      <formula>NOT(ISERROR(SEARCH("Ikke relevant",N195)))</formula>
    </cfRule>
  </conditionalFormatting>
  <conditionalFormatting sqref="G96:L96">
    <cfRule type="containsText" dxfId="123" priority="62" operator="containsText" text="Ikke relevant">
      <formula>NOT(ISERROR(SEARCH("Ikke relevant",G96)))</formula>
    </cfRule>
  </conditionalFormatting>
  <conditionalFormatting sqref="M96">
    <cfRule type="containsText" dxfId="122" priority="61" operator="containsText" text="Ikke relevant">
      <formula>NOT(ISERROR(SEARCH("Ikke relevant",M96)))</formula>
    </cfRule>
  </conditionalFormatting>
  <conditionalFormatting sqref="N96">
    <cfRule type="containsText" dxfId="121" priority="55" operator="containsText" text="Ikke relevant">
      <formula>NOT(ISERROR(SEARCH("Ikke relevant",N96)))</formula>
    </cfRule>
  </conditionalFormatting>
  <conditionalFormatting sqref="G54:L56">
    <cfRule type="containsText" dxfId="120" priority="53" operator="containsText" text="Ikke relevant">
      <formula>NOT(ISERROR(SEARCH("Ikke relevant",G54)))</formula>
    </cfRule>
  </conditionalFormatting>
  <conditionalFormatting sqref="M54:M56">
    <cfRule type="containsText" dxfId="119" priority="52" operator="containsText" text="Ikke relevant">
      <formula>NOT(ISERROR(SEARCH("Ikke relevant",M54)))</formula>
    </cfRule>
  </conditionalFormatting>
  <conditionalFormatting sqref="N54:N56">
    <cfRule type="containsText" dxfId="118" priority="46" operator="containsText" text="Ikke relevant">
      <formula>NOT(ISERROR(SEARCH("Ikke relevant",N54)))</formula>
    </cfRule>
  </conditionalFormatting>
  <conditionalFormatting sqref="G35:L36">
    <cfRule type="containsText" dxfId="117" priority="44" operator="containsText" text="Ikke relevant">
      <formula>NOT(ISERROR(SEARCH("Ikke relevant",G35)))</formula>
    </cfRule>
  </conditionalFormatting>
  <conditionalFormatting sqref="M35:M36">
    <cfRule type="containsText" dxfId="116" priority="43" operator="containsText" text="Ikke relevant">
      <formula>NOT(ISERROR(SEARCH("Ikke relevant",M35)))</formula>
    </cfRule>
  </conditionalFormatting>
  <conditionalFormatting sqref="N35:N36">
    <cfRule type="containsText" dxfId="115" priority="36" operator="containsText" text="Ikke relevant">
      <formula>NOT(ISERROR(SEARCH("Ikke relevant",N35)))</formula>
    </cfRule>
  </conditionalFormatting>
  <conditionalFormatting sqref="G116:L116">
    <cfRule type="containsText" dxfId="114" priority="34" operator="containsText" text="Ikke relevant">
      <formula>NOT(ISERROR(SEARCH("Ikke relevant",G116)))</formula>
    </cfRule>
  </conditionalFormatting>
  <conditionalFormatting sqref="M116">
    <cfRule type="containsText" dxfId="113" priority="33" operator="containsText" text="Ikke relevant">
      <formula>NOT(ISERROR(SEARCH("Ikke relevant",M116)))</formula>
    </cfRule>
  </conditionalFormatting>
  <conditionalFormatting sqref="N116">
    <cfRule type="containsText" dxfId="112" priority="27" operator="containsText" text="Ikke relevant">
      <formula>NOT(ISERROR(SEARCH("Ikke relevant",N116)))</formula>
    </cfRule>
  </conditionalFormatting>
  <conditionalFormatting sqref="G153:L156">
    <cfRule type="containsText" dxfId="111" priority="26" operator="containsText" text="Ikke relevant">
      <formula>NOT(ISERROR(SEARCH("Ikke relevant",G153)))</formula>
    </cfRule>
  </conditionalFormatting>
  <conditionalFormatting sqref="M153:M156">
    <cfRule type="containsText" dxfId="110" priority="25" operator="containsText" text="Ikke relevant">
      <formula>NOT(ISERROR(SEARCH("Ikke relevant",M153)))</formula>
    </cfRule>
  </conditionalFormatting>
  <conditionalFormatting sqref="N153:N156">
    <cfRule type="containsText" dxfId="109" priority="18" operator="containsText" text="Ikke relevant">
      <formula>NOT(ISERROR(SEARCH("Ikke relevant",N153)))</formula>
    </cfRule>
  </conditionalFormatting>
  <conditionalFormatting sqref="G175:L176">
    <cfRule type="containsText" dxfId="108" priority="11" operator="containsText" text="Ikke relevant">
      <formula>NOT(ISERROR(SEARCH("Ikke relevant",G175)))</formula>
    </cfRule>
  </conditionalFormatting>
  <conditionalFormatting sqref="M175:M176">
    <cfRule type="containsText" dxfId="107" priority="10" operator="containsText" text="Ikke relevant">
      <formula>NOT(ISERROR(SEARCH("Ikke relevant",M175)))</formula>
    </cfRule>
  </conditionalFormatting>
  <conditionalFormatting sqref="N175:N176">
    <cfRule type="containsText" dxfId="106" priority="9" operator="containsText" text="Ikke relevant">
      <formula>NOT(ISERROR(SEARCH("Ikke relevant",N175)))</formula>
    </cfRule>
  </conditionalFormatting>
  <dataValidations count="6">
    <dataValidation type="list" allowBlank="1" showInputMessage="1" sqref="G9:H9">
      <formula1>Ministerium</formula1>
    </dataValidation>
    <dataValidation type="list" allowBlank="1" showInputMessage="1" sqref="G11:H11">
      <formula1>INDIRECT(SUBSTITUTE(SUBSTITUTE(SUBSTITUTE(Ministeriuminput," ",""),"-",""),",",""))</formula1>
    </dataValidation>
    <dataValidation type="custom" allowBlank="1" showInputMessage="1" showErrorMessage="1" errorTitle="Not a valid date" error="The data you entered is not a real date, please click Retry to enter a valid date." sqref="G17:H17">
      <formula1>AND(ISNUMBER(Date),LEFT(CELL("format",Date),1)="D")</formula1>
    </dataValidation>
    <dataValidation type="list" allowBlank="1" showInputMessage="1" showErrorMessage="1" sqref="M32:M34 N54:N56 M71:M76 M111:M115 M131:M134 M151:M152 M171:M174 M191:M194 N211:N216 N35:N36 M51:M53 M91:M95 N96 N116 N135 N153:N156 N175:N176 N195:N196">
      <formula1>Spørgeramme</formula1>
    </dataValidation>
    <dataValidation type="list" allowBlank="1" showInputMessage="1" sqref="M31">
      <formula1>Spørgeramme</formula1>
    </dataValidation>
    <dataValidation allowBlank="1" showInputMessage="1" sqref="N31:N34 N38 N58 N78 N98 N118 N138 N158 N178 N198"/>
  </dataValidations>
  <pageMargins left="0.7" right="0.7" top="0.75" bottom="0.75" header="0.3" footer="0.3"/>
  <pageSetup paperSize="9" scale="2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953" id="{A5458484-03C4-480C-8E88-51FEF18907AA}">
            <x14:iconSet iconSet="3Symbols2" custom="1">
              <x14:cfvo type="percent">
                <xm:f>0</xm:f>
              </x14:cfvo>
              <x14:cfvo type="num">
                <xm:f>0.85</xm:f>
              </x14:cfvo>
              <x14:cfvo type="num">
                <xm:f>0.99</xm:f>
              </x14:cfvo>
              <x14:cfIcon iconSet="3Symbols2" iconId="0"/>
              <x14:cfIcon iconSet="3TrafficLights1" iconId="1"/>
              <x14:cfIcon iconSet="3Symbols2" iconId="2"/>
            </x14:iconSet>
          </x14:cfRule>
          <xm:sqref>K5:N5</xm:sqref>
        </x14:conditionalFormatting>
        <x14:conditionalFormatting xmlns:xm="http://schemas.microsoft.com/office/excel/2006/main">
          <x14:cfRule type="iconSet" priority="476" id="{D946AAE9-02DC-438F-8D5B-E6940611C02E}">
            <x14:iconSet showValue="0" custom="1">
              <x14:cfvo type="percent">
                <xm:f>0</xm:f>
              </x14:cfvo>
              <x14:cfvo type="num">
                <xm:f>0</xm:f>
              </x14:cfvo>
              <x14:cfvo type="num">
                <xm:f>1</xm:f>
              </x14:cfvo>
              <x14:cfIcon iconSet="3Symbols2" iconId="0"/>
              <x14:cfIcon iconSet="3Symbols2" iconId="0"/>
              <x14:cfIcon iconSet="3Symbols2" iconId="2"/>
            </x14:iconSet>
          </x14:cfRule>
          <xm:sqref>O9 O11 O13 O15 O17</xm:sqref>
        </x14:conditionalFormatting>
        <x14:conditionalFormatting xmlns:xm="http://schemas.microsoft.com/office/excel/2006/main">
          <x14:cfRule type="iconSet" priority="974" id="{06F39423-2E83-47AC-A1ED-30A10B6C37AA}">
            <x14:iconSet iconSet="3Symbols2" custom="1">
              <x14:cfvo type="percent">
                <xm:f>0</xm:f>
              </x14:cfvo>
              <x14:cfvo type="num">
                <xm:f>0</xm:f>
              </x14:cfvo>
              <x14:cfvo type="num">
                <xm:f>1</xm:f>
              </x14:cfvo>
              <x14:cfIcon iconSet="3Symbols2" iconId="0"/>
              <x14:cfIcon iconSet="3Symbols2" iconId="0"/>
              <x14:cfIcon iconSet="3Symbols2" iconId="2"/>
            </x14:iconSet>
          </x14:cfRule>
          <xm:sqref>O37</xm:sqref>
        </x14:conditionalFormatting>
        <x14:conditionalFormatting xmlns:xm="http://schemas.microsoft.com/office/excel/2006/main">
          <x14:cfRule type="iconSet" priority="467" id="{7385AEEC-AF5D-4296-A41C-FE032DAF70C3}">
            <x14:iconSet iconSet="3Symbols2" custom="1">
              <x14:cfvo type="percent">
                <xm:f>0</xm:f>
              </x14:cfvo>
              <x14:cfvo type="num">
                <xm:f>0</xm:f>
              </x14:cfvo>
              <x14:cfvo type="num">
                <xm:f>1</xm:f>
              </x14:cfvo>
              <x14:cfIcon iconSet="3Symbols2" iconId="0"/>
              <x14:cfIcon iconSet="3Symbols2" iconId="0"/>
              <x14:cfIcon iconSet="3Symbols2" iconId="2"/>
            </x14:iconSet>
          </x14:cfRule>
          <xm:sqref>O57</xm:sqref>
        </x14:conditionalFormatting>
        <x14:conditionalFormatting xmlns:xm="http://schemas.microsoft.com/office/excel/2006/main">
          <x14:cfRule type="iconSet" priority="445" id="{1E36913D-8266-48F1-84FD-B6CB2A89152A}">
            <x14:iconSet iconSet="3Symbols2" custom="1">
              <x14:cfvo type="percent">
                <xm:f>0</xm:f>
              </x14:cfvo>
              <x14:cfvo type="num">
                <xm:f>0</xm:f>
              </x14:cfvo>
              <x14:cfvo type="num">
                <xm:f>1</xm:f>
              </x14:cfvo>
              <x14:cfIcon iconSet="3Symbols2" iconId="0"/>
              <x14:cfIcon iconSet="3Symbols2" iconId="0"/>
              <x14:cfIcon iconSet="3Symbols2" iconId="2"/>
            </x14:iconSet>
          </x14:cfRule>
          <xm:sqref>O77</xm:sqref>
        </x14:conditionalFormatting>
        <x14:conditionalFormatting xmlns:xm="http://schemas.microsoft.com/office/excel/2006/main">
          <x14:cfRule type="iconSet" priority="434" id="{32074EBD-4B59-492B-A08D-128FEE3FB0FF}">
            <x14:iconSet iconSet="3Symbols2" custom="1">
              <x14:cfvo type="percent">
                <xm:f>0</xm:f>
              </x14:cfvo>
              <x14:cfvo type="num">
                <xm:f>0</xm:f>
              </x14:cfvo>
              <x14:cfvo type="num">
                <xm:f>1</xm:f>
              </x14:cfvo>
              <x14:cfIcon iconSet="3Symbols2" iconId="0"/>
              <x14:cfIcon iconSet="3Symbols2" iconId="0"/>
              <x14:cfIcon iconSet="3Symbols2" iconId="2"/>
            </x14:iconSet>
          </x14:cfRule>
          <xm:sqref>O97</xm:sqref>
        </x14:conditionalFormatting>
        <x14:conditionalFormatting xmlns:xm="http://schemas.microsoft.com/office/excel/2006/main">
          <x14:cfRule type="iconSet" priority="423" id="{74B667AD-4AAC-49E6-BDA2-45E5053EC1E8}">
            <x14:iconSet iconSet="3Symbols2" custom="1">
              <x14:cfvo type="percent">
                <xm:f>0</xm:f>
              </x14:cfvo>
              <x14:cfvo type="num">
                <xm:f>0</xm:f>
              </x14:cfvo>
              <x14:cfvo type="num">
                <xm:f>1</xm:f>
              </x14:cfvo>
              <x14:cfIcon iconSet="3Symbols2" iconId="0"/>
              <x14:cfIcon iconSet="3Symbols2" iconId="0"/>
              <x14:cfIcon iconSet="3Symbols2" iconId="2"/>
            </x14:iconSet>
          </x14:cfRule>
          <xm:sqref>O117</xm:sqref>
        </x14:conditionalFormatting>
        <x14:conditionalFormatting xmlns:xm="http://schemas.microsoft.com/office/excel/2006/main">
          <x14:cfRule type="iconSet" priority="412" id="{EE04955A-526F-4E8E-9D30-2E5D8A036133}">
            <x14:iconSet iconSet="3Symbols2" custom="1">
              <x14:cfvo type="percent">
                <xm:f>0</xm:f>
              </x14:cfvo>
              <x14:cfvo type="num">
                <xm:f>0</xm:f>
              </x14:cfvo>
              <x14:cfvo type="num">
                <xm:f>1</xm:f>
              </x14:cfvo>
              <x14:cfIcon iconSet="3Symbols2" iconId="0"/>
              <x14:cfIcon iconSet="3Symbols2" iconId="0"/>
              <x14:cfIcon iconSet="3Symbols2" iconId="2"/>
            </x14:iconSet>
          </x14:cfRule>
          <xm:sqref>O137</xm:sqref>
        </x14:conditionalFormatting>
        <x14:conditionalFormatting xmlns:xm="http://schemas.microsoft.com/office/excel/2006/main">
          <x14:cfRule type="expression" priority="358" id="{1F3A4FFB-16D9-40BC-BA33-3208589421E2}">
            <xm:f>IF($M31=S_Lookupsheet!$BE$3,TRUE,FALSE)</xm:f>
            <x14:dxf>
              <fill>
                <patternFill>
                  <bgColor rgb="FF5F7F8F"/>
                </patternFill>
              </fill>
            </x14:dxf>
          </x14:cfRule>
          <xm:sqref>G31:G34 G40 G43:G53 G60 G63:G77 G80 G83:G95 G100 G103:G115 G120 G140 G123:G134 G143:G152 G160 G163:G174 G180:G181 G183:G194 G200 G137 G197 G97 G57 G37 G117 G157 G177</xm:sqref>
        </x14:conditionalFormatting>
        <x14:conditionalFormatting xmlns:xm="http://schemas.microsoft.com/office/excel/2006/main">
          <x14:cfRule type="expression" priority="357" id="{27C50540-69AB-41C1-A1D7-A2BEF9A36180}">
            <xm:f>IF($M31=S_Lookupsheet!$BE$4,TRUE,FALSE)</xm:f>
            <x14:dxf>
              <fill>
                <patternFill>
                  <bgColor rgb="FF5F7F8F"/>
                </patternFill>
              </fill>
            </x14:dxf>
          </x14:cfRule>
          <xm:sqref>H31:H34 H40:H41 H43:H53 H60:H61 H63:H77 H80:H81 H83:H95 H100:H101 H103:H115 H120:H121 H123:H134 H140:H141 H160:H161 H143:H152 H163:H174 H180:H181 H183:H194 H200 H137 H197 H97 H57 H37 H117 H157 H177</xm:sqref>
        </x14:conditionalFormatting>
        <x14:conditionalFormatting xmlns:xm="http://schemas.microsoft.com/office/excel/2006/main">
          <x14:cfRule type="expression" priority="356" id="{6D1234B8-FBD4-48A5-9942-104DB3770C35}">
            <xm:f>IF($M31=S_Lookupsheet!$BE$5,TRUE,FALSE)</xm:f>
            <x14:dxf>
              <fill>
                <patternFill>
                  <bgColor rgb="FF5F7F8F"/>
                </patternFill>
              </fill>
            </x14:dxf>
          </x14:cfRule>
          <xm:sqref>I31:I34 I40:I41 I43:I53 I60:I61 I63:I77 I80:I81 I83:I95 I100:I101 I103:I115 I120:I121 I123:I134 I140:I141 I160:I161 I143:I152 I163:I174 I180:I181 I183:I194 I200 I137 I197 I97 I57 I37 I117 I157 I177</xm:sqref>
        </x14:conditionalFormatting>
        <x14:conditionalFormatting xmlns:xm="http://schemas.microsoft.com/office/excel/2006/main">
          <x14:cfRule type="expression" priority="355" id="{DB2FDE56-B23E-4D56-BD7E-5953F3C44733}">
            <xm:f>IF($M31=S_Lookupsheet!$BE$6,TRUE,FALSE)</xm:f>
            <x14:dxf>
              <fill>
                <patternFill>
                  <bgColor rgb="FF607F8F"/>
                </patternFill>
              </fill>
            </x14:dxf>
          </x14:cfRule>
          <xm:sqref>J31:J34 J40:J41 J43:J53 J60:J61 J63:J77 J80:J81 J83:J95 J100:J101 J103:J115 J120:J121 J123:J134 J140:J141 J160:J161 J143:J152 J163:J174 J180:J181 J183:J194 J200 J137 J197 J97 J57 J37 J117 J157 J177</xm:sqref>
        </x14:conditionalFormatting>
        <x14:conditionalFormatting xmlns:xm="http://schemas.microsoft.com/office/excel/2006/main">
          <x14:cfRule type="expression" priority="354" id="{2DBB293C-62C7-488F-A94F-B17C16C3F05D}">
            <xm:f>IF($M31=S_Lookupsheet!$BE$7,TRUE,FALSE)</xm:f>
            <x14:dxf>
              <fill>
                <patternFill>
                  <bgColor rgb="FF5F7F8F"/>
                </patternFill>
              </fill>
            </x14:dxf>
          </x14:cfRule>
          <xm:sqref>L42 L62 L82 K31:K34 K40:K41 K43:K53 K60:K61 K63:K77 K80:K81 K83:K95 K100:K101 L102 K103:K115 K120:K121 K123:K134 L122 K140:K141 K160:K161 K143:K152 L142 L162 K163:K174 K180:K181 L182 K183:K194 K200 K137 K197 K97 K57 K37 K117 K157 K177</xm:sqref>
        </x14:conditionalFormatting>
        <x14:conditionalFormatting xmlns:xm="http://schemas.microsoft.com/office/excel/2006/main">
          <x14:cfRule type="iconSet" priority="353" id="{59615CE2-F9F2-4004-BFD1-330586FB96CD}">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O171:O173</xm:sqref>
        </x14:conditionalFormatting>
        <x14:conditionalFormatting xmlns:xm="http://schemas.microsoft.com/office/excel/2006/main">
          <x14:cfRule type="iconSet" priority="292" id="{65071E19-55F2-4174-9F55-80A48DFDE0A4}">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O191:O192</xm:sqref>
        </x14:conditionalFormatting>
        <x14:conditionalFormatting xmlns:xm="http://schemas.microsoft.com/office/excel/2006/main">
          <x14:cfRule type="iconSet" priority="291" id="{1FABFFAD-C029-430E-AF4B-84CBC6B26B7B}">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O193</xm:sqref>
        </x14:conditionalFormatting>
        <x14:conditionalFormatting xmlns:xm="http://schemas.microsoft.com/office/excel/2006/main">
          <x14:cfRule type="iconSet" priority="284" id="{91384A7F-0664-4E79-90F2-07EEA9A7A60D}">
            <x14:iconSet iconSet="3Symbols2" custom="1">
              <x14:cfvo type="percent">
                <xm:f>0</xm:f>
              </x14:cfvo>
              <x14:cfvo type="num">
                <xm:f>0</xm:f>
              </x14:cfvo>
              <x14:cfvo type="num">
                <xm:f>1</xm:f>
              </x14:cfvo>
              <x14:cfIcon iconSet="3Symbols2" iconId="0"/>
              <x14:cfIcon iconSet="3Symbols2" iconId="0"/>
              <x14:cfIcon iconSet="3Symbols2" iconId="2"/>
            </x14:iconSet>
          </x14:cfRule>
          <xm:sqref>O197</xm:sqref>
        </x14:conditionalFormatting>
        <x14:conditionalFormatting xmlns:xm="http://schemas.microsoft.com/office/excel/2006/main">
          <x14:cfRule type="iconSet" priority="285" id="{A3E8606F-21E4-4A09-804B-4816E72B2326}">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O197</xm:sqref>
        </x14:conditionalFormatting>
        <x14:conditionalFormatting xmlns:xm="http://schemas.microsoft.com/office/excel/2006/main">
          <x14:cfRule type="iconSet" priority="282" id="{E38D48CB-363A-4339-B321-7A0CED4322FA}">
            <x14:iconSet iconSet="3Symbols2" custom="1">
              <x14:cfvo type="percent">
                <xm:f>0</xm:f>
              </x14:cfvo>
              <x14:cfvo type="num">
                <xm:f>0</xm:f>
              </x14:cfvo>
              <x14:cfvo type="num">
                <xm:f>1</xm:f>
              </x14:cfvo>
              <x14:cfIcon iconSet="3Symbols2" iconId="0"/>
              <x14:cfIcon iconSet="3Symbols2" iconId="0"/>
              <x14:cfIcon iconSet="3Symbols2" iconId="2"/>
            </x14:iconSet>
          </x14:cfRule>
          <xm:sqref>O177</xm:sqref>
        </x14:conditionalFormatting>
        <x14:conditionalFormatting xmlns:xm="http://schemas.microsoft.com/office/excel/2006/main">
          <x14:cfRule type="iconSet" priority="283" id="{FC24B3DD-1237-4A29-86B7-C9489B61A2DA}">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O177</xm:sqref>
        </x14:conditionalFormatting>
        <x14:conditionalFormatting xmlns:xm="http://schemas.microsoft.com/office/excel/2006/main">
          <x14:cfRule type="iconSet" priority="280" id="{29135EB8-FA85-48FF-8AEF-1510A799A343}">
            <x14:iconSet iconSet="3Symbols2" custom="1">
              <x14:cfvo type="percent">
                <xm:f>0</xm:f>
              </x14:cfvo>
              <x14:cfvo type="num">
                <xm:f>0</xm:f>
              </x14:cfvo>
              <x14:cfvo type="num">
                <xm:f>1</xm:f>
              </x14:cfvo>
              <x14:cfIcon iconSet="3Symbols2" iconId="0"/>
              <x14:cfIcon iconSet="3Symbols2" iconId="0"/>
              <x14:cfIcon iconSet="3Symbols2" iconId="2"/>
            </x14:iconSet>
          </x14:cfRule>
          <xm:sqref>O157</xm:sqref>
        </x14:conditionalFormatting>
        <x14:conditionalFormatting xmlns:xm="http://schemas.microsoft.com/office/excel/2006/main">
          <x14:cfRule type="iconSet" priority="281" id="{1D787B7F-D201-4BBF-A761-0C89077F1D94}">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O157</xm:sqref>
        </x14:conditionalFormatting>
        <x14:conditionalFormatting xmlns:xm="http://schemas.microsoft.com/office/excel/2006/main">
          <x14:cfRule type="iconSet" priority="279" id="{6456735A-77B0-438D-A153-277F1A26A3BE}">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O151</xm:sqref>
        </x14:conditionalFormatting>
        <x14:conditionalFormatting xmlns:xm="http://schemas.microsoft.com/office/excel/2006/main">
          <x14:cfRule type="iconSet" priority="278" id="{2A94FCE2-2C46-41C7-9278-DD1964D34423}">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O152</xm:sqref>
        </x14:conditionalFormatting>
        <x14:conditionalFormatting xmlns:xm="http://schemas.microsoft.com/office/excel/2006/main">
          <x14:cfRule type="iconSet" priority="999" id="{F776EEE4-2895-4DA0-AADD-E38C79DC99D3}">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O31:O34 O37</xm:sqref>
        </x14:conditionalFormatting>
        <x14:conditionalFormatting xmlns:xm="http://schemas.microsoft.com/office/excel/2006/main">
          <x14:cfRule type="iconSet" priority="1022" id="{8F0EF0C1-CD61-4111-A6D3-3DD535B51484}">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O51:O53 O57</xm:sqref>
        </x14:conditionalFormatting>
        <x14:conditionalFormatting xmlns:xm="http://schemas.microsoft.com/office/excel/2006/main">
          <x14:cfRule type="iconSet" priority="1045" id="{0F9F0331-2A29-4AA7-9795-E5379194FC04}">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O71:O77</xm:sqref>
        </x14:conditionalFormatting>
        <x14:conditionalFormatting xmlns:xm="http://schemas.microsoft.com/office/excel/2006/main">
          <x14:cfRule type="iconSet" priority="1068" id="{FA060955-9CC3-4A62-8563-5DAF17BB6378}">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O91:O95 O97</xm:sqref>
        </x14:conditionalFormatting>
        <x14:conditionalFormatting xmlns:xm="http://schemas.microsoft.com/office/excel/2006/main">
          <x14:cfRule type="iconSet" priority="1091" id="{7B524CA3-8B9D-456C-8A50-3FB70A3C06A6}">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O111:O115 O117</xm:sqref>
        </x14:conditionalFormatting>
        <x14:conditionalFormatting xmlns:xm="http://schemas.microsoft.com/office/excel/2006/main">
          <x14:cfRule type="iconSet" priority="1114" id="{75128BC0-C39B-4B9F-A406-4ED740F11962}">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O131:O134 O137</xm:sqref>
        </x14:conditionalFormatting>
        <x14:conditionalFormatting xmlns:xm="http://schemas.microsoft.com/office/excel/2006/main">
          <x14:cfRule type="iconSet" priority="1181" id="{F2F4E894-D8B4-4CBD-B245-AEE09416E5BB}">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O174</xm:sqref>
        </x14:conditionalFormatting>
        <x14:conditionalFormatting xmlns:xm="http://schemas.microsoft.com/office/excel/2006/main">
          <x14:cfRule type="iconSet" priority="1223" id="{0ACE1A82-E23A-4463-8BC7-BF0BE9B71D7F}">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O194</xm:sqref>
        </x14:conditionalFormatting>
        <x14:conditionalFormatting xmlns:xm="http://schemas.microsoft.com/office/excel/2006/main">
          <x14:cfRule type="expression" priority="268" id="{D85CBA6B-6B02-465C-A5FA-4CD170AF9AA5}">
            <xm:f>IF($N31=S_Lookupsheet!$BE$7,TRUE,FALSE)</xm:f>
            <x14:dxf>
              <fill>
                <patternFill>
                  <bgColor rgb="FF5F7F8F"/>
                </patternFill>
              </fill>
            </x14:dxf>
          </x14:cfRule>
          <xm:sqref>K31:K34</xm:sqref>
        </x14:conditionalFormatting>
        <x14:conditionalFormatting xmlns:xm="http://schemas.microsoft.com/office/excel/2006/main">
          <x14:cfRule type="expression" priority="1262" id="{2DBB293C-62C7-488F-A94F-B17C16C3F05D}">
            <xm:f>IF(#REF!=S_Lookupsheet!$BE$7,TRUE,FALSE)</xm:f>
            <x14:dxf>
              <fill>
                <patternFill>
                  <bgColor rgb="FF5F7F8F"/>
                </patternFill>
              </fill>
            </x14:dxf>
          </x14:cfRule>
          <xm:sqref>L58 L98 L118 L158 L178 L198</xm:sqref>
        </x14:conditionalFormatting>
        <x14:conditionalFormatting xmlns:xm="http://schemas.microsoft.com/office/excel/2006/main">
          <x14:cfRule type="expression" priority="1272" id="{2DBB293C-62C7-488F-A94F-B17C16C3F05D}">
            <xm:f>IF(#REF!=S_Lookupsheet!$BE$7,TRUE,FALSE)</xm:f>
            <x14:dxf>
              <fill>
                <patternFill>
                  <bgColor rgb="FF5F7F8F"/>
                </patternFill>
              </fill>
            </x14:dxf>
          </x14:cfRule>
          <xm:sqref>L78</xm:sqref>
        </x14:conditionalFormatting>
        <x14:conditionalFormatting xmlns:xm="http://schemas.microsoft.com/office/excel/2006/main">
          <x14:cfRule type="iconSet" priority="177" id="{98068106-7137-43EF-AE4F-E8AA111F119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O39</xm:sqref>
        </x14:conditionalFormatting>
        <x14:conditionalFormatting xmlns:xm="http://schemas.microsoft.com/office/excel/2006/main">
          <x14:cfRule type="expression" priority="118" id="{B91E787B-62C4-43DB-BA96-CB7DC4463413}">
            <xm:f>IF($M201=S_Lookupsheet!$BE$3,TRUE,FALSE)</xm:f>
            <x14:dxf>
              <fill>
                <patternFill>
                  <bgColor rgb="FF5F7F8F"/>
                </patternFill>
              </fill>
            </x14:dxf>
          </x14:cfRule>
          <xm:sqref>G201 G203:G217</xm:sqref>
        </x14:conditionalFormatting>
        <x14:conditionalFormatting xmlns:xm="http://schemas.microsoft.com/office/excel/2006/main">
          <x14:cfRule type="expression" priority="117" id="{F40FA99E-B12F-445D-BF26-DA3B15DFC6FB}">
            <xm:f>IF($M201=S_Lookupsheet!$BE$4,TRUE,FALSE)</xm:f>
            <x14:dxf>
              <fill>
                <patternFill>
                  <bgColor rgb="FF5F7F8F"/>
                </patternFill>
              </fill>
            </x14:dxf>
          </x14:cfRule>
          <xm:sqref>H201 H203:H217</xm:sqref>
        </x14:conditionalFormatting>
        <x14:conditionalFormatting xmlns:xm="http://schemas.microsoft.com/office/excel/2006/main">
          <x14:cfRule type="expression" priority="116" id="{633036F7-5BED-4F18-BBE7-28E9F3BD9525}">
            <xm:f>IF($M201=S_Lookupsheet!$BE$5,TRUE,FALSE)</xm:f>
            <x14:dxf>
              <fill>
                <patternFill>
                  <bgColor rgb="FF5F7F8F"/>
                </patternFill>
              </fill>
            </x14:dxf>
          </x14:cfRule>
          <xm:sqref>I201 I203:I217</xm:sqref>
        </x14:conditionalFormatting>
        <x14:conditionalFormatting xmlns:xm="http://schemas.microsoft.com/office/excel/2006/main">
          <x14:cfRule type="expression" priority="115" id="{99BE93D9-B46D-43F1-BD72-559BBE592258}">
            <xm:f>IF($M201=S_Lookupsheet!$BE$6,TRUE,FALSE)</xm:f>
            <x14:dxf>
              <fill>
                <patternFill>
                  <bgColor rgb="FF607F8F"/>
                </patternFill>
              </fill>
            </x14:dxf>
          </x14:cfRule>
          <xm:sqref>J201 J203:J217</xm:sqref>
        </x14:conditionalFormatting>
        <x14:conditionalFormatting xmlns:xm="http://schemas.microsoft.com/office/excel/2006/main">
          <x14:cfRule type="expression" priority="114" id="{38F69C2A-631B-4849-8222-4327D4D92A31}">
            <xm:f>IF($M201=S_Lookupsheet!$BE$7,TRUE,FALSE)</xm:f>
            <x14:dxf>
              <fill>
                <patternFill>
                  <bgColor rgb="FF5F7F8F"/>
                </patternFill>
              </fill>
            </x14:dxf>
          </x14:cfRule>
          <xm:sqref>K201 L202 K203:K217</xm:sqref>
        </x14:conditionalFormatting>
        <x14:conditionalFormatting xmlns:xm="http://schemas.microsoft.com/office/excel/2006/main">
          <x14:cfRule type="iconSet" priority="102" id="{70B01284-62F3-4FE0-A4C9-B86C3DA8EA49}">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O211:O212</xm:sqref>
        </x14:conditionalFormatting>
        <x14:conditionalFormatting xmlns:xm="http://schemas.microsoft.com/office/excel/2006/main">
          <x14:cfRule type="iconSet" priority="101" id="{9314C098-296C-47B0-852C-B8370339B5E9}">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O213</xm:sqref>
        </x14:conditionalFormatting>
        <x14:conditionalFormatting xmlns:xm="http://schemas.microsoft.com/office/excel/2006/main">
          <x14:cfRule type="iconSet" priority="100" id="{6FE097F6-CE9A-417B-AE50-23E13579BC5E}">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O216</xm:sqref>
        </x14:conditionalFormatting>
        <x14:conditionalFormatting xmlns:xm="http://schemas.microsoft.com/office/excel/2006/main">
          <x14:cfRule type="iconSet" priority="98" id="{21887C72-2753-4DC3-908F-DBEFB7C1D2B3}">
            <x14:iconSet iconSet="3Symbols2" custom="1">
              <x14:cfvo type="percent">
                <xm:f>0</xm:f>
              </x14:cfvo>
              <x14:cfvo type="num">
                <xm:f>0</xm:f>
              </x14:cfvo>
              <x14:cfvo type="num">
                <xm:f>1</xm:f>
              </x14:cfvo>
              <x14:cfIcon iconSet="3Symbols2" iconId="0"/>
              <x14:cfIcon iconSet="3Symbols2" iconId="0"/>
              <x14:cfIcon iconSet="3Symbols2" iconId="2"/>
            </x14:iconSet>
          </x14:cfRule>
          <xm:sqref>O217</xm:sqref>
        </x14:conditionalFormatting>
        <x14:conditionalFormatting xmlns:xm="http://schemas.microsoft.com/office/excel/2006/main">
          <x14:cfRule type="iconSet" priority="99" id="{DEBE5321-04FF-4671-AB08-8FE6CB86E4D9}">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O217</xm:sqref>
        </x14:conditionalFormatting>
        <x14:conditionalFormatting xmlns:xm="http://schemas.microsoft.com/office/excel/2006/main">
          <x14:cfRule type="iconSet" priority="119" id="{B889E8B4-B333-4A57-9181-5EA66AC9B115}">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O215</xm:sqref>
        </x14:conditionalFormatting>
        <x14:conditionalFormatting xmlns:xm="http://schemas.microsoft.com/office/excel/2006/main">
          <x14:cfRule type="iconSet" priority="120" id="{943CE49F-9191-49D5-A85D-88E81F76F8F8}">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O214</xm:sqref>
        </x14:conditionalFormatting>
        <x14:conditionalFormatting xmlns:xm="http://schemas.microsoft.com/office/excel/2006/main">
          <x14:cfRule type="expression" priority="121" id="{F6DC03F6-FDB2-4D58-A12C-AFC7A6A1DF78}">
            <xm:f>IF(#REF!=S_Lookupsheet!$BE$7,TRUE,FALSE)</xm:f>
            <x14:dxf>
              <fill>
                <patternFill>
                  <bgColor rgb="FF5F7F8F"/>
                </patternFill>
              </fill>
            </x14:dxf>
          </x14:cfRule>
          <xm:sqref>L218</xm:sqref>
        </x14:conditionalFormatting>
        <x14:conditionalFormatting xmlns:xm="http://schemas.microsoft.com/office/excel/2006/main">
          <x14:cfRule type="iconSet" priority="91" id="{62F704F6-6723-4BEE-B791-248AD605F23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O218</xm:sqref>
        </x14:conditionalFormatting>
        <x14:conditionalFormatting xmlns:xm="http://schemas.microsoft.com/office/excel/2006/main">
          <x14:cfRule type="iconSet" priority="82" id="{781554D7-F253-496C-A55B-487407F3BFE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O38</xm:sqref>
        </x14:conditionalFormatting>
        <x14:conditionalFormatting xmlns:xm="http://schemas.microsoft.com/office/excel/2006/main">
          <x14:cfRule type="expression" priority="79" id="{EA4C1E79-FF70-416D-97C2-C370A8E014A7}">
            <xm:f>IF($M135=S_Lookupsheet!$BE$3,TRUE,FALSE)</xm:f>
            <x14:dxf>
              <fill>
                <patternFill>
                  <bgColor rgb="FF5F7F8F"/>
                </patternFill>
              </fill>
            </x14:dxf>
          </x14:cfRule>
          <xm:sqref>G135:G136</xm:sqref>
        </x14:conditionalFormatting>
        <x14:conditionalFormatting xmlns:xm="http://schemas.microsoft.com/office/excel/2006/main">
          <x14:cfRule type="expression" priority="78" id="{3A8330A9-42B3-46BE-B47E-B9A65593F3A5}">
            <xm:f>IF($M135=S_Lookupsheet!$BE$4,TRUE,FALSE)</xm:f>
            <x14:dxf>
              <fill>
                <patternFill>
                  <bgColor rgb="FF5F7F8F"/>
                </patternFill>
              </fill>
            </x14:dxf>
          </x14:cfRule>
          <xm:sqref>H135:H136</xm:sqref>
        </x14:conditionalFormatting>
        <x14:conditionalFormatting xmlns:xm="http://schemas.microsoft.com/office/excel/2006/main">
          <x14:cfRule type="expression" priority="77" id="{A7594A5F-0C60-474F-A5A1-2424C53785FE}">
            <xm:f>IF($M135=S_Lookupsheet!$BE$5,TRUE,FALSE)</xm:f>
            <x14:dxf>
              <fill>
                <patternFill>
                  <bgColor rgb="FF5F7F8F"/>
                </patternFill>
              </fill>
            </x14:dxf>
          </x14:cfRule>
          <xm:sqref>I135:I136</xm:sqref>
        </x14:conditionalFormatting>
        <x14:conditionalFormatting xmlns:xm="http://schemas.microsoft.com/office/excel/2006/main">
          <x14:cfRule type="expression" priority="76" id="{224DEFB6-0249-464A-8BAF-B31AD4F80579}">
            <xm:f>IF($M135=S_Lookupsheet!$BE$6,TRUE,FALSE)</xm:f>
            <x14:dxf>
              <fill>
                <patternFill>
                  <bgColor rgb="FF607F8F"/>
                </patternFill>
              </fill>
            </x14:dxf>
          </x14:cfRule>
          <xm:sqref>J135:J136</xm:sqref>
        </x14:conditionalFormatting>
        <x14:conditionalFormatting xmlns:xm="http://schemas.microsoft.com/office/excel/2006/main">
          <x14:cfRule type="expression" priority="75" id="{B323E8BB-D27E-4B66-8232-B6F7BCDEFFC5}">
            <xm:f>IF($M135=S_Lookupsheet!$BE$7,TRUE,FALSE)</xm:f>
            <x14:dxf>
              <fill>
                <patternFill>
                  <bgColor rgb="FF5F7F8F"/>
                </patternFill>
              </fill>
            </x14:dxf>
          </x14:cfRule>
          <xm:sqref>K135:K136</xm:sqref>
        </x14:conditionalFormatting>
        <x14:conditionalFormatting xmlns:xm="http://schemas.microsoft.com/office/excel/2006/main">
          <x14:cfRule type="iconSet" priority="81" id="{02BE4880-C586-4609-904C-DD314E556648}">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O135:O136</xm:sqref>
        </x14:conditionalFormatting>
        <x14:conditionalFormatting xmlns:xm="http://schemas.microsoft.com/office/excel/2006/main">
          <x14:cfRule type="expression" priority="71" id="{319A6877-C4AF-42D7-B399-1A7150434F19}">
            <xm:f>IF($M195=S_Lookupsheet!$BE$3,TRUE,FALSE)</xm:f>
            <x14:dxf>
              <fill>
                <patternFill>
                  <bgColor rgb="FF5F7F8F"/>
                </patternFill>
              </fill>
            </x14:dxf>
          </x14:cfRule>
          <xm:sqref>G195:G196</xm:sqref>
        </x14:conditionalFormatting>
        <x14:conditionalFormatting xmlns:xm="http://schemas.microsoft.com/office/excel/2006/main">
          <x14:cfRule type="expression" priority="70" id="{4A716E9A-7D14-4A31-AEAB-3F44EB4B48EE}">
            <xm:f>IF($M195=S_Lookupsheet!$BE$4,TRUE,FALSE)</xm:f>
            <x14:dxf>
              <fill>
                <patternFill>
                  <bgColor rgb="FF5F7F8F"/>
                </patternFill>
              </fill>
            </x14:dxf>
          </x14:cfRule>
          <xm:sqref>H195:H196</xm:sqref>
        </x14:conditionalFormatting>
        <x14:conditionalFormatting xmlns:xm="http://schemas.microsoft.com/office/excel/2006/main">
          <x14:cfRule type="expression" priority="69" id="{B039B1FB-939B-43D8-8872-8A841EC1C8BB}">
            <xm:f>IF($M195=S_Lookupsheet!$BE$5,TRUE,FALSE)</xm:f>
            <x14:dxf>
              <fill>
                <patternFill>
                  <bgColor rgb="FF5F7F8F"/>
                </patternFill>
              </fill>
            </x14:dxf>
          </x14:cfRule>
          <xm:sqref>I195:I196</xm:sqref>
        </x14:conditionalFormatting>
        <x14:conditionalFormatting xmlns:xm="http://schemas.microsoft.com/office/excel/2006/main">
          <x14:cfRule type="expression" priority="68" id="{646B3367-3698-4E4C-93C7-C817092352BA}">
            <xm:f>IF($M195=S_Lookupsheet!$BE$6,TRUE,FALSE)</xm:f>
            <x14:dxf>
              <fill>
                <patternFill>
                  <bgColor rgb="FF607F8F"/>
                </patternFill>
              </fill>
            </x14:dxf>
          </x14:cfRule>
          <xm:sqref>J195:J196</xm:sqref>
        </x14:conditionalFormatting>
        <x14:conditionalFormatting xmlns:xm="http://schemas.microsoft.com/office/excel/2006/main">
          <x14:cfRule type="expression" priority="67" id="{A96038FF-BD92-488B-89ED-47C7F4E104EF}">
            <xm:f>IF($M195=S_Lookupsheet!$BE$7,TRUE,FALSE)</xm:f>
            <x14:dxf>
              <fill>
                <patternFill>
                  <bgColor rgb="FF5F7F8F"/>
                </patternFill>
              </fill>
            </x14:dxf>
          </x14:cfRule>
          <xm:sqref>K195:K196</xm:sqref>
        </x14:conditionalFormatting>
        <x14:conditionalFormatting xmlns:xm="http://schemas.microsoft.com/office/excel/2006/main">
          <x14:cfRule type="iconSet" priority="72" id="{8DAABB10-E741-4BC8-BBCD-07AE67A1D0EC}">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O195:O196</xm:sqref>
        </x14:conditionalFormatting>
        <x14:conditionalFormatting xmlns:xm="http://schemas.microsoft.com/office/excel/2006/main">
          <x14:cfRule type="expression" priority="60" id="{717AFF9E-111E-4DA1-B2CF-1D1DE4511F05}">
            <xm:f>IF($M96=S_Lookupsheet!$BE$3,TRUE,FALSE)</xm:f>
            <x14:dxf>
              <fill>
                <patternFill>
                  <bgColor rgb="FF5F7F8F"/>
                </patternFill>
              </fill>
            </x14:dxf>
          </x14:cfRule>
          <xm:sqref>G96</xm:sqref>
        </x14:conditionalFormatting>
        <x14:conditionalFormatting xmlns:xm="http://schemas.microsoft.com/office/excel/2006/main">
          <x14:cfRule type="expression" priority="59" id="{02243D25-B8D7-4930-8DFE-813057E995FA}">
            <xm:f>IF($M96=S_Lookupsheet!$BE$4,TRUE,FALSE)</xm:f>
            <x14:dxf>
              <fill>
                <patternFill>
                  <bgColor rgb="FF5F7F8F"/>
                </patternFill>
              </fill>
            </x14:dxf>
          </x14:cfRule>
          <xm:sqref>H96</xm:sqref>
        </x14:conditionalFormatting>
        <x14:conditionalFormatting xmlns:xm="http://schemas.microsoft.com/office/excel/2006/main">
          <x14:cfRule type="expression" priority="58" id="{445113B9-28A9-48D9-8363-33F1CF7E680B}">
            <xm:f>IF($M96=S_Lookupsheet!$BE$5,TRUE,FALSE)</xm:f>
            <x14:dxf>
              <fill>
                <patternFill>
                  <bgColor rgb="FF5F7F8F"/>
                </patternFill>
              </fill>
            </x14:dxf>
          </x14:cfRule>
          <xm:sqref>I96</xm:sqref>
        </x14:conditionalFormatting>
        <x14:conditionalFormatting xmlns:xm="http://schemas.microsoft.com/office/excel/2006/main">
          <x14:cfRule type="expression" priority="57" id="{3FC3CA9B-2EFB-446A-BFA9-4BC2B2050D64}">
            <xm:f>IF($M96=S_Lookupsheet!$BE$6,TRUE,FALSE)</xm:f>
            <x14:dxf>
              <fill>
                <patternFill>
                  <bgColor rgb="FF607F8F"/>
                </patternFill>
              </fill>
            </x14:dxf>
          </x14:cfRule>
          <xm:sqref>J96</xm:sqref>
        </x14:conditionalFormatting>
        <x14:conditionalFormatting xmlns:xm="http://schemas.microsoft.com/office/excel/2006/main">
          <x14:cfRule type="expression" priority="56" id="{C3252BC3-8FE8-443F-B780-A16256684F47}">
            <xm:f>IF($M96=S_Lookupsheet!$BE$7,TRUE,FALSE)</xm:f>
            <x14:dxf>
              <fill>
                <patternFill>
                  <bgColor rgb="FF5F7F8F"/>
                </patternFill>
              </fill>
            </x14:dxf>
          </x14:cfRule>
          <xm:sqref>K96</xm:sqref>
        </x14:conditionalFormatting>
        <x14:conditionalFormatting xmlns:xm="http://schemas.microsoft.com/office/excel/2006/main">
          <x14:cfRule type="iconSet" priority="63" id="{077FD8CB-F437-45F0-9716-9B09828AC777}">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O96</xm:sqref>
        </x14:conditionalFormatting>
        <x14:conditionalFormatting xmlns:xm="http://schemas.microsoft.com/office/excel/2006/main">
          <x14:cfRule type="expression" priority="51" id="{5B7101E4-3DF4-4800-BB4C-16A127BD06DB}">
            <xm:f>IF($M54=S_Lookupsheet!$BE$3,TRUE,FALSE)</xm:f>
            <x14:dxf>
              <fill>
                <patternFill>
                  <bgColor rgb="FF5F7F8F"/>
                </patternFill>
              </fill>
            </x14:dxf>
          </x14:cfRule>
          <xm:sqref>G54:G56</xm:sqref>
        </x14:conditionalFormatting>
        <x14:conditionalFormatting xmlns:xm="http://schemas.microsoft.com/office/excel/2006/main">
          <x14:cfRule type="expression" priority="50" id="{74E1F756-8F27-4A7B-B050-CF88A13D9948}">
            <xm:f>IF($M54=S_Lookupsheet!$BE$4,TRUE,FALSE)</xm:f>
            <x14:dxf>
              <fill>
                <patternFill>
                  <bgColor rgb="FF5F7F8F"/>
                </patternFill>
              </fill>
            </x14:dxf>
          </x14:cfRule>
          <xm:sqref>H54:H56</xm:sqref>
        </x14:conditionalFormatting>
        <x14:conditionalFormatting xmlns:xm="http://schemas.microsoft.com/office/excel/2006/main">
          <x14:cfRule type="expression" priority="49" id="{3EAA4528-C890-4C4D-980C-94F6AFB74374}">
            <xm:f>IF($M54=S_Lookupsheet!$BE$5,TRUE,FALSE)</xm:f>
            <x14:dxf>
              <fill>
                <patternFill>
                  <bgColor rgb="FF5F7F8F"/>
                </patternFill>
              </fill>
            </x14:dxf>
          </x14:cfRule>
          <xm:sqref>I54:I56</xm:sqref>
        </x14:conditionalFormatting>
        <x14:conditionalFormatting xmlns:xm="http://schemas.microsoft.com/office/excel/2006/main">
          <x14:cfRule type="expression" priority="48" id="{DF54A2C1-C17D-4368-8EA1-41D176905D52}">
            <xm:f>IF($M54=S_Lookupsheet!$BE$6,TRUE,FALSE)</xm:f>
            <x14:dxf>
              <fill>
                <patternFill>
                  <bgColor rgb="FF607F8F"/>
                </patternFill>
              </fill>
            </x14:dxf>
          </x14:cfRule>
          <xm:sqref>J54:J56</xm:sqref>
        </x14:conditionalFormatting>
        <x14:conditionalFormatting xmlns:xm="http://schemas.microsoft.com/office/excel/2006/main">
          <x14:cfRule type="expression" priority="47" id="{64083D8D-A7BE-45D6-93C1-32277ABD9A39}">
            <xm:f>IF($M54=S_Lookupsheet!$BE$7,TRUE,FALSE)</xm:f>
            <x14:dxf>
              <fill>
                <patternFill>
                  <bgColor rgb="FF5F7F8F"/>
                </patternFill>
              </fill>
            </x14:dxf>
          </x14:cfRule>
          <xm:sqref>K54:K56</xm:sqref>
        </x14:conditionalFormatting>
        <x14:conditionalFormatting xmlns:xm="http://schemas.microsoft.com/office/excel/2006/main">
          <x14:cfRule type="iconSet" priority="54" id="{84F23840-4D08-4050-8823-E024B28E51CE}">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O54:O56</xm:sqref>
        </x14:conditionalFormatting>
        <x14:conditionalFormatting xmlns:xm="http://schemas.microsoft.com/office/excel/2006/main">
          <x14:cfRule type="expression" priority="42" id="{EF193FBF-4273-434C-A7E1-0902D394228B}">
            <xm:f>IF($M35=S_Lookupsheet!$BE$3,TRUE,FALSE)</xm:f>
            <x14:dxf>
              <fill>
                <patternFill>
                  <bgColor rgb="FF5F7F8F"/>
                </patternFill>
              </fill>
            </x14:dxf>
          </x14:cfRule>
          <xm:sqref>G35:G36</xm:sqref>
        </x14:conditionalFormatting>
        <x14:conditionalFormatting xmlns:xm="http://schemas.microsoft.com/office/excel/2006/main">
          <x14:cfRule type="expression" priority="41" id="{69723F76-EC07-4B1A-BABF-FA3719D66747}">
            <xm:f>IF($M35=S_Lookupsheet!$BE$4,TRUE,FALSE)</xm:f>
            <x14:dxf>
              <fill>
                <patternFill>
                  <bgColor rgb="FF5F7F8F"/>
                </patternFill>
              </fill>
            </x14:dxf>
          </x14:cfRule>
          <xm:sqref>H35:H36</xm:sqref>
        </x14:conditionalFormatting>
        <x14:conditionalFormatting xmlns:xm="http://schemas.microsoft.com/office/excel/2006/main">
          <x14:cfRule type="expression" priority="40" id="{A9353D93-931C-45B3-9FF6-922D16DF2C18}">
            <xm:f>IF($M35=S_Lookupsheet!$BE$5,TRUE,FALSE)</xm:f>
            <x14:dxf>
              <fill>
                <patternFill>
                  <bgColor rgb="FF5F7F8F"/>
                </patternFill>
              </fill>
            </x14:dxf>
          </x14:cfRule>
          <xm:sqref>I35:I36</xm:sqref>
        </x14:conditionalFormatting>
        <x14:conditionalFormatting xmlns:xm="http://schemas.microsoft.com/office/excel/2006/main">
          <x14:cfRule type="expression" priority="39" id="{E059CE89-62C2-4E66-BD95-F1ADD07FAE61}">
            <xm:f>IF($M35=S_Lookupsheet!$BE$6,TRUE,FALSE)</xm:f>
            <x14:dxf>
              <fill>
                <patternFill>
                  <bgColor rgb="FF607F8F"/>
                </patternFill>
              </fill>
            </x14:dxf>
          </x14:cfRule>
          <xm:sqref>J35:J36</xm:sqref>
        </x14:conditionalFormatting>
        <x14:conditionalFormatting xmlns:xm="http://schemas.microsoft.com/office/excel/2006/main">
          <x14:cfRule type="expression" priority="38" id="{73ED3B26-487A-4DD0-8F04-7F3A32B772E6}">
            <xm:f>IF($M35=S_Lookupsheet!$BE$7,TRUE,FALSE)</xm:f>
            <x14:dxf>
              <fill>
                <patternFill>
                  <bgColor rgb="FF5F7F8F"/>
                </patternFill>
              </fill>
            </x14:dxf>
          </x14:cfRule>
          <xm:sqref>K35:K36</xm:sqref>
        </x14:conditionalFormatting>
        <x14:conditionalFormatting xmlns:xm="http://schemas.microsoft.com/office/excel/2006/main">
          <x14:cfRule type="iconSet" priority="45" id="{A64866BD-BAB6-47A3-8E60-92B1A13ABF95}">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O35:O36</xm:sqref>
        </x14:conditionalFormatting>
        <x14:conditionalFormatting xmlns:xm="http://schemas.microsoft.com/office/excel/2006/main">
          <x14:cfRule type="expression" priority="37" id="{37B6AA8F-B09A-4CD1-A3DA-348C0B9863CB}">
            <xm:f>IF($N35=S_Lookupsheet!$BE$7,TRUE,FALSE)</xm:f>
            <x14:dxf>
              <fill>
                <patternFill>
                  <bgColor rgb="FF5F7F8F"/>
                </patternFill>
              </fill>
            </x14:dxf>
          </x14:cfRule>
          <xm:sqref>K35:K36</xm:sqref>
        </x14:conditionalFormatting>
        <x14:conditionalFormatting xmlns:xm="http://schemas.microsoft.com/office/excel/2006/main">
          <x14:cfRule type="expression" priority="32" id="{4D701BAE-AFDC-4C2A-91DF-8E11F64B4E25}">
            <xm:f>IF($M116=S_Lookupsheet!$BE$3,TRUE,FALSE)</xm:f>
            <x14:dxf>
              <fill>
                <patternFill>
                  <bgColor rgb="FF5F7F8F"/>
                </patternFill>
              </fill>
            </x14:dxf>
          </x14:cfRule>
          <xm:sqref>G116</xm:sqref>
        </x14:conditionalFormatting>
        <x14:conditionalFormatting xmlns:xm="http://schemas.microsoft.com/office/excel/2006/main">
          <x14:cfRule type="expression" priority="31" id="{8EB71B33-66B9-4844-8A0B-480DF986E5EB}">
            <xm:f>IF($M116=S_Lookupsheet!$BE$4,TRUE,FALSE)</xm:f>
            <x14:dxf>
              <fill>
                <patternFill>
                  <bgColor rgb="FF5F7F8F"/>
                </patternFill>
              </fill>
            </x14:dxf>
          </x14:cfRule>
          <xm:sqref>H116</xm:sqref>
        </x14:conditionalFormatting>
        <x14:conditionalFormatting xmlns:xm="http://schemas.microsoft.com/office/excel/2006/main">
          <x14:cfRule type="expression" priority="30" id="{CFFC0D9A-A822-487C-BCDB-6BA1994E0137}">
            <xm:f>IF($M116=S_Lookupsheet!$BE$5,TRUE,FALSE)</xm:f>
            <x14:dxf>
              <fill>
                <patternFill>
                  <bgColor rgb="FF5F7F8F"/>
                </patternFill>
              </fill>
            </x14:dxf>
          </x14:cfRule>
          <xm:sqref>I116</xm:sqref>
        </x14:conditionalFormatting>
        <x14:conditionalFormatting xmlns:xm="http://schemas.microsoft.com/office/excel/2006/main">
          <x14:cfRule type="expression" priority="29" id="{5063FAED-2202-40DD-A571-CCD7BAF188CC}">
            <xm:f>IF($M116=S_Lookupsheet!$BE$6,TRUE,FALSE)</xm:f>
            <x14:dxf>
              <fill>
                <patternFill>
                  <bgColor rgb="FF607F8F"/>
                </patternFill>
              </fill>
            </x14:dxf>
          </x14:cfRule>
          <xm:sqref>J116</xm:sqref>
        </x14:conditionalFormatting>
        <x14:conditionalFormatting xmlns:xm="http://schemas.microsoft.com/office/excel/2006/main">
          <x14:cfRule type="expression" priority="28" id="{31662637-BB04-4968-98C6-6F0631C7E17F}">
            <xm:f>IF($M116=S_Lookupsheet!$BE$7,TRUE,FALSE)</xm:f>
            <x14:dxf>
              <fill>
                <patternFill>
                  <bgColor rgb="FF5F7F8F"/>
                </patternFill>
              </fill>
            </x14:dxf>
          </x14:cfRule>
          <xm:sqref>K116</xm:sqref>
        </x14:conditionalFormatting>
        <x14:conditionalFormatting xmlns:xm="http://schemas.microsoft.com/office/excel/2006/main">
          <x14:cfRule type="iconSet" priority="35" id="{E7F69530-0FCF-4D72-8525-12E718583106}">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O116</xm:sqref>
        </x14:conditionalFormatting>
        <x14:conditionalFormatting xmlns:xm="http://schemas.microsoft.com/office/excel/2006/main">
          <x14:cfRule type="expression" priority="24" id="{6722EDC4-B071-4DE9-B4A8-8B826A4EAFCE}">
            <xm:f>IF($M153=S_Lookupsheet!$BE$3,TRUE,FALSE)</xm:f>
            <x14:dxf>
              <fill>
                <patternFill>
                  <bgColor rgb="FF5F7F8F"/>
                </patternFill>
              </fill>
            </x14:dxf>
          </x14:cfRule>
          <xm:sqref>G153:G156</xm:sqref>
        </x14:conditionalFormatting>
        <x14:conditionalFormatting xmlns:xm="http://schemas.microsoft.com/office/excel/2006/main">
          <x14:cfRule type="expression" priority="23" id="{1BF40244-10D4-4DB7-B177-813C5189FCED}">
            <xm:f>IF($M153=S_Lookupsheet!$BE$4,TRUE,FALSE)</xm:f>
            <x14:dxf>
              <fill>
                <patternFill>
                  <bgColor rgb="FF5F7F8F"/>
                </patternFill>
              </fill>
            </x14:dxf>
          </x14:cfRule>
          <xm:sqref>H153:H156</xm:sqref>
        </x14:conditionalFormatting>
        <x14:conditionalFormatting xmlns:xm="http://schemas.microsoft.com/office/excel/2006/main">
          <x14:cfRule type="expression" priority="22" id="{1D9AF8A5-E6CF-4202-9B1C-30DF6439C2D2}">
            <xm:f>IF($M153=S_Lookupsheet!$BE$5,TRUE,FALSE)</xm:f>
            <x14:dxf>
              <fill>
                <patternFill>
                  <bgColor rgb="FF5F7F8F"/>
                </patternFill>
              </fill>
            </x14:dxf>
          </x14:cfRule>
          <xm:sqref>I153:I156</xm:sqref>
        </x14:conditionalFormatting>
        <x14:conditionalFormatting xmlns:xm="http://schemas.microsoft.com/office/excel/2006/main">
          <x14:cfRule type="expression" priority="21" id="{C62AC659-8A25-4597-91D5-EF0ECEE8A149}">
            <xm:f>IF($M153=S_Lookupsheet!$BE$6,TRUE,FALSE)</xm:f>
            <x14:dxf>
              <fill>
                <patternFill>
                  <bgColor rgb="FF607F8F"/>
                </patternFill>
              </fill>
            </x14:dxf>
          </x14:cfRule>
          <xm:sqref>J153:J156</xm:sqref>
        </x14:conditionalFormatting>
        <x14:conditionalFormatting xmlns:xm="http://schemas.microsoft.com/office/excel/2006/main">
          <x14:cfRule type="expression" priority="20" id="{89BF48BC-FF2D-4FC8-9F6F-C51E53760744}">
            <xm:f>IF($M153=S_Lookupsheet!$BE$7,TRUE,FALSE)</xm:f>
            <x14:dxf>
              <fill>
                <patternFill>
                  <bgColor rgb="FF5F7F8F"/>
                </patternFill>
              </fill>
            </x14:dxf>
          </x14:cfRule>
          <xm:sqref>K153:K156</xm:sqref>
        </x14:conditionalFormatting>
        <x14:conditionalFormatting xmlns:xm="http://schemas.microsoft.com/office/excel/2006/main">
          <x14:cfRule type="iconSet" priority="19" id="{790D66E5-F9F2-4A09-8B56-207562EA0210}">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O153:O156</xm:sqref>
        </x14:conditionalFormatting>
        <x14:conditionalFormatting xmlns:xm="http://schemas.microsoft.com/office/excel/2006/main">
          <x14:cfRule type="expression" priority="16" id="{23766D0F-0191-4AB5-9DC7-C6BEF07F3A7B}">
            <xm:f>IF($M175=S_Lookupsheet!$BE$3,TRUE,FALSE)</xm:f>
            <x14:dxf>
              <fill>
                <patternFill>
                  <bgColor rgb="FF5F7F8F"/>
                </patternFill>
              </fill>
            </x14:dxf>
          </x14:cfRule>
          <xm:sqref>G175:G176</xm:sqref>
        </x14:conditionalFormatting>
        <x14:conditionalFormatting xmlns:xm="http://schemas.microsoft.com/office/excel/2006/main">
          <x14:cfRule type="expression" priority="15" id="{D2A97E8E-8037-469A-B5E9-331639CD7DD9}">
            <xm:f>IF($M175=S_Lookupsheet!$BE$4,TRUE,FALSE)</xm:f>
            <x14:dxf>
              <fill>
                <patternFill>
                  <bgColor rgb="FF5F7F8F"/>
                </patternFill>
              </fill>
            </x14:dxf>
          </x14:cfRule>
          <xm:sqref>H175:H176</xm:sqref>
        </x14:conditionalFormatting>
        <x14:conditionalFormatting xmlns:xm="http://schemas.microsoft.com/office/excel/2006/main">
          <x14:cfRule type="expression" priority="14" id="{34ECDA75-3824-4BEE-A11B-79D94EC9F6D4}">
            <xm:f>IF($M175=S_Lookupsheet!$BE$5,TRUE,FALSE)</xm:f>
            <x14:dxf>
              <fill>
                <patternFill>
                  <bgColor rgb="FF5F7F8F"/>
                </patternFill>
              </fill>
            </x14:dxf>
          </x14:cfRule>
          <xm:sqref>I175:I176</xm:sqref>
        </x14:conditionalFormatting>
        <x14:conditionalFormatting xmlns:xm="http://schemas.microsoft.com/office/excel/2006/main">
          <x14:cfRule type="expression" priority="13" id="{4929EE7D-D44F-46E7-A93E-10945F7319FB}">
            <xm:f>IF($M175=S_Lookupsheet!$BE$6,TRUE,FALSE)</xm:f>
            <x14:dxf>
              <fill>
                <patternFill>
                  <bgColor rgb="FF607F8F"/>
                </patternFill>
              </fill>
            </x14:dxf>
          </x14:cfRule>
          <xm:sqref>J175:J176</xm:sqref>
        </x14:conditionalFormatting>
        <x14:conditionalFormatting xmlns:xm="http://schemas.microsoft.com/office/excel/2006/main">
          <x14:cfRule type="expression" priority="12" id="{75D864AC-1905-4E6B-97A2-592F1DE1852E}">
            <xm:f>IF($M175=S_Lookupsheet!$BE$7,TRUE,FALSE)</xm:f>
            <x14:dxf>
              <fill>
                <patternFill>
                  <bgColor rgb="FF5F7F8F"/>
                </patternFill>
              </fill>
            </x14:dxf>
          </x14:cfRule>
          <xm:sqref>K175:K176</xm:sqref>
        </x14:conditionalFormatting>
        <x14:conditionalFormatting xmlns:xm="http://schemas.microsoft.com/office/excel/2006/main">
          <x14:cfRule type="iconSet" priority="17" id="{DB0B9A0E-5325-4DE2-9633-7797FE2C55EC}">
            <x14:iconSet iconSet="3Symbols2" showValue="0" custom="1">
              <x14:cfvo type="percent">
                <xm:f>0</xm:f>
              </x14:cfvo>
              <x14:cfvo type="num" gte="0">
                <xm:f>0</xm:f>
              </x14:cfvo>
              <x14:cfvo type="num">
                <xm:f>5</xm:f>
              </x14:cfvo>
              <x14:cfIcon iconSet="3Symbols2" iconId="0"/>
              <x14:cfIcon iconSet="3Symbols2" iconId="2"/>
              <x14:cfIcon iconSet="NoIcons" iconId="0"/>
            </x14:iconSet>
          </x14:cfRule>
          <xm:sqref>O175:O176</xm:sqref>
        </x14:conditionalFormatting>
        <x14:conditionalFormatting xmlns:xm="http://schemas.microsoft.com/office/excel/2006/main">
          <x14:cfRule type="iconSet" priority="8" id="{DAAF09EF-BA1A-4185-9FC0-0F0D8EC8154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O58</xm:sqref>
        </x14:conditionalFormatting>
        <x14:conditionalFormatting xmlns:xm="http://schemas.microsoft.com/office/excel/2006/main">
          <x14:cfRule type="iconSet" priority="7" id="{118036BC-37C7-45BC-88D2-8796FED6465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O78</xm:sqref>
        </x14:conditionalFormatting>
        <x14:conditionalFormatting xmlns:xm="http://schemas.microsoft.com/office/excel/2006/main">
          <x14:cfRule type="iconSet" priority="6" id="{AE62210F-9648-49CF-9040-E73F87CAD27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O98</xm:sqref>
        </x14:conditionalFormatting>
        <x14:conditionalFormatting xmlns:xm="http://schemas.microsoft.com/office/excel/2006/main">
          <x14:cfRule type="iconSet" priority="5" id="{E1F48C93-D803-442D-9A00-B538CCFBC52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O118</xm:sqref>
        </x14:conditionalFormatting>
        <x14:conditionalFormatting xmlns:xm="http://schemas.microsoft.com/office/excel/2006/main">
          <x14:cfRule type="iconSet" priority="4" id="{557F2224-6443-4027-BCFC-85E6D45EA24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O138</xm:sqref>
        </x14:conditionalFormatting>
        <x14:conditionalFormatting xmlns:xm="http://schemas.microsoft.com/office/excel/2006/main">
          <x14:cfRule type="iconSet" priority="3" id="{65DF0857-A747-417C-9270-30EA03AEA77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O158</xm:sqref>
        </x14:conditionalFormatting>
        <x14:conditionalFormatting xmlns:xm="http://schemas.microsoft.com/office/excel/2006/main">
          <x14:cfRule type="iconSet" priority="2" id="{C43ECD14-210D-45EB-A9AB-51FB446CD68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O178</xm:sqref>
        </x14:conditionalFormatting>
        <x14:conditionalFormatting xmlns:xm="http://schemas.microsoft.com/office/excel/2006/main">
          <x14:cfRule type="iconSet" priority="1" id="{B4212F52-8EA8-43A2-BB9A-56FFA2A1CA3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O198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S_Lookupsheet!$AY$2:$AY$6</xm:f>
          </x14:formula1>
          <xm:sqref>M99 V218:W218 M179 M119 M139 M159 M199</xm:sqref>
        </x14:dataValidation>
        <x14:dataValidation type="list" showInputMessage="1" showErrorMessage="1">
          <x14:formula1>
            <xm:f>S_Lookupsheet!$AY$2:$AY$6</xm:f>
          </x14:formula1>
          <xm:sqref>M39 M59 M79</xm:sqref>
        </x14:dataValidation>
        <x14:dataValidation type="list" allowBlank="1" showInputMessage="1" showErrorMessage="1">
          <x14:formula1>
            <xm:f>S_Lookupsheet!$BE$2:$BE$7</xm:f>
          </x14:formula1>
          <xm:sqref>M38 M58 M78 M98 M118 M138 M158 M178 M198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_Report">
    <tabColor rgb="FF940027"/>
  </sheetPr>
  <dimension ref="A1:AA199"/>
  <sheetViews>
    <sheetView showGridLines="0" zoomScale="85" zoomScaleNormal="85" zoomScaleSheetLayoutView="50" workbookViewId="0"/>
  </sheetViews>
  <sheetFormatPr defaultColWidth="0" defaultRowHeight="15" zeroHeight="1" x14ac:dyDescent="0.25"/>
  <cols>
    <col min="1" max="1" width="30" style="230" customWidth="1"/>
    <col min="2" max="2" width="5.85546875" style="227" customWidth="1"/>
    <col min="3" max="3" width="21.140625" style="39" customWidth="1"/>
    <col min="4" max="4" width="5.7109375" style="39" customWidth="1"/>
    <col min="5" max="5" width="12.7109375" style="39" customWidth="1"/>
    <col min="6" max="6" width="5.7109375" style="39" customWidth="1"/>
    <col min="7" max="7" width="12.7109375" style="39" customWidth="1"/>
    <col min="8" max="8" width="5.7109375" style="39" customWidth="1"/>
    <col min="9" max="9" width="12.7109375" style="39" customWidth="1"/>
    <col min="10" max="10" width="5.7109375" style="39" customWidth="1"/>
    <col min="11" max="11" width="12.7109375" style="39" customWidth="1"/>
    <col min="12" max="12" width="5.7109375" style="39" customWidth="1"/>
    <col min="13" max="13" width="12.7109375" style="39" customWidth="1"/>
    <col min="14" max="14" width="5.7109375" style="39" customWidth="1"/>
    <col min="15" max="15" width="12.7109375" style="39" customWidth="1"/>
    <col min="16" max="16" width="5.7109375" style="39" customWidth="1"/>
    <col min="17" max="17" width="12.7109375" style="39" customWidth="1"/>
    <col min="18" max="18" width="5.7109375" style="39" customWidth="1"/>
    <col min="19" max="19" width="12.7109375" style="39" customWidth="1"/>
    <col min="20" max="20" width="5.7109375" style="39" customWidth="1"/>
    <col min="21" max="21" width="12.7109375" style="39" customWidth="1"/>
    <col min="22" max="22" width="15.28515625" style="39" customWidth="1"/>
    <col min="23" max="23" width="3" style="39" customWidth="1"/>
    <col min="24" max="24" width="6.140625" style="39" customWidth="1"/>
    <col min="25" max="27" width="0" style="39" hidden="1" customWidth="1"/>
    <col min="28" max="16384" width="8.85546875" style="39" hidden="1"/>
  </cols>
  <sheetData>
    <row r="1" spans="3:23" ht="49.15" customHeight="1" x14ac:dyDescent="0.25">
      <c r="C1" s="341" t="str">
        <f>"Ledelsesrapport for "&amp;IF(Styrelse="","",Styrelse)</f>
        <v xml:space="preserve">Ledelsesrapport for </v>
      </c>
      <c r="D1" s="341"/>
      <c r="E1" s="341"/>
      <c r="F1" s="341"/>
      <c r="G1" s="341"/>
      <c r="H1" s="341"/>
      <c r="I1" s="341"/>
      <c r="J1" s="341"/>
      <c r="K1" s="341"/>
      <c r="L1" s="341"/>
      <c r="M1" s="341"/>
      <c r="N1" s="341"/>
      <c r="O1" s="341"/>
      <c r="P1" s="341"/>
      <c r="Q1" s="341"/>
      <c r="R1" s="341"/>
      <c r="S1" s="341"/>
      <c r="T1" s="341"/>
      <c r="U1" s="341"/>
      <c r="V1" s="341"/>
      <c r="W1" s="41"/>
    </row>
    <row r="2" spans="3:23" x14ac:dyDescent="0.25">
      <c r="C2" s="42"/>
      <c r="D2" s="42"/>
      <c r="E2" s="42"/>
      <c r="F2" s="42"/>
      <c r="G2" s="42"/>
      <c r="H2" s="42"/>
      <c r="I2" s="42"/>
      <c r="J2" s="42"/>
      <c r="K2" s="42"/>
      <c r="L2" s="42"/>
      <c r="M2" s="42"/>
      <c r="N2" s="42"/>
      <c r="O2" s="42"/>
      <c r="P2" s="42"/>
      <c r="Q2" s="42"/>
      <c r="R2" s="42"/>
      <c r="S2" s="42"/>
      <c r="T2" s="42"/>
      <c r="U2" s="42"/>
      <c r="V2" s="42"/>
      <c r="W2" s="41"/>
    </row>
    <row r="3" spans="3:23" x14ac:dyDescent="0.25">
      <c r="C3" s="43"/>
      <c r="D3" s="43"/>
      <c r="E3" s="43"/>
      <c r="F3" s="43"/>
      <c r="G3" s="43"/>
      <c r="H3" s="43"/>
      <c r="I3" s="43"/>
      <c r="J3" s="43"/>
      <c r="K3" s="43"/>
      <c r="L3" s="43"/>
      <c r="M3" s="43"/>
      <c r="N3" s="43"/>
      <c r="O3" s="43"/>
      <c r="P3" s="43"/>
      <c r="Q3" s="43"/>
      <c r="R3" s="43"/>
      <c r="S3" s="43"/>
      <c r="T3" s="43"/>
      <c r="U3" s="43"/>
      <c r="V3" s="43"/>
      <c r="W3" s="41"/>
    </row>
    <row r="4" spans="3:23" x14ac:dyDescent="0.25">
      <c r="C4" s="26"/>
      <c r="D4" s="26"/>
      <c r="E4" s="26"/>
      <c r="F4" s="26"/>
      <c r="G4" s="26"/>
      <c r="H4" s="26"/>
      <c r="I4" s="26"/>
      <c r="J4" s="26"/>
      <c r="K4" s="26"/>
      <c r="L4" s="26"/>
      <c r="M4" s="26"/>
      <c r="N4" s="26"/>
      <c r="O4" s="26"/>
      <c r="P4" s="26"/>
      <c r="Q4" s="26"/>
      <c r="R4" s="26"/>
      <c r="S4" s="26"/>
      <c r="T4" s="26"/>
      <c r="U4" s="26"/>
      <c r="V4" s="26"/>
      <c r="W4" s="41"/>
    </row>
    <row r="5" spans="3:23" x14ac:dyDescent="0.25">
      <c r="C5" s="26"/>
      <c r="D5" s="26"/>
      <c r="E5" s="26"/>
      <c r="F5" s="26"/>
      <c r="G5" s="26"/>
      <c r="H5" s="26"/>
      <c r="I5" s="26"/>
      <c r="J5" s="26"/>
      <c r="K5" s="26"/>
      <c r="L5" s="26"/>
      <c r="M5" s="26"/>
      <c r="N5" s="26"/>
      <c r="O5" s="26"/>
      <c r="P5" s="26"/>
      <c r="Q5" s="26"/>
      <c r="R5" s="26"/>
      <c r="S5" s="26"/>
      <c r="T5" s="26"/>
      <c r="U5" s="26"/>
      <c r="V5" s="26"/>
      <c r="W5" s="41"/>
    </row>
    <row r="6" spans="3:23" x14ac:dyDescent="0.25">
      <c r="C6" s="26"/>
      <c r="D6" s="28"/>
      <c r="E6" s="28"/>
      <c r="F6" s="28"/>
      <c r="G6" s="26"/>
      <c r="H6" s="28"/>
      <c r="I6" s="29"/>
      <c r="J6" s="28"/>
      <c r="K6" s="29"/>
      <c r="L6" s="28"/>
      <c r="M6" s="26"/>
      <c r="N6" s="28"/>
      <c r="O6" s="26"/>
      <c r="P6" s="28"/>
      <c r="Q6" s="26"/>
      <c r="R6" s="28"/>
      <c r="S6" s="26"/>
      <c r="T6" s="28"/>
      <c r="U6" s="26"/>
      <c r="V6" s="26"/>
      <c r="W6" s="41"/>
    </row>
    <row r="7" spans="3:23" x14ac:dyDescent="0.25">
      <c r="C7" s="26"/>
      <c r="D7" s="28"/>
      <c r="E7" s="28"/>
      <c r="F7" s="28"/>
      <c r="G7" s="26"/>
      <c r="H7" s="28"/>
      <c r="I7" s="26"/>
      <c r="J7" s="28"/>
      <c r="K7" s="26"/>
      <c r="L7" s="28"/>
      <c r="M7" s="26"/>
      <c r="N7" s="28"/>
      <c r="O7" s="26"/>
      <c r="P7" s="28"/>
      <c r="Q7" s="26"/>
      <c r="R7" s="28"/>
      <c r="S7" s="26"/>
      <c r="T7" s="28"/>
      <c r="U7" s="26"/>
      <c r="V7" s="26"/>
      <c r="W7" s="41"/>
    </row>
    <row r="8" spans="3:23" x14ac:dyDescent="0.25">
      <c r="C8" s="26"/>
      <c r="D8" s="28"/>
      <c r="E8" s="28"/>
      <c r="F8" s="28"/>
      <c r="G8" s="26"/>
      <c r="H8" s="28"/>
      <c r="I8" s="29"/>
      <c r="J8" s="28"/>
      <c r="K8" s="29"/>
      <c r="L8" s="28"/>
      <c r="M8" s="29"/>
      <c r="N8" s="28"/>
      <c r="O8" s="26"/>
      <c r="P8" s="28"/>
      <c r="Q8" s="26"/>
      <c r="R8" s="28"/>
      <c r="S8" s="26"/>
      <c r="T8" s="28"/>
      <c r="U8" s="26"/>
      <c r="V8" s="26"/>
      <c r="W8" s="41"/>
    </row>
    <row r="9" spans="3:23" x14ac:dyDescent="0.25">
      <c r="C9" s="40"/>
      <c r="D9" s="28"/>
      <c r="E9" s="28"/>
      <c r="F9" s="28"/>
      <c r="G9" s="26"/>
      <c r="H9" s="28"/>
      <c r="I9" s="38"/>
      <c r="J9" s="28"/>
      <c r="K9" s="38"/>
      <c r="L9" s="28"/>
      <c r="M9" s="29"/>
      <c r="N9" s="28"/>
      <c r="O9" s="26"/>
      <c r="P9" s="28"/>
      <c r="Q9" s="26"/>
      <c r="R9" s="28"/>
      <c r="S9" s="26"/>
      <c r="T9" s="28"/>
      <c r="U9" s="26"/>
      <c r="V9" s="26"/>
      <c r="W9" s="41"/>
    </row>
    <row r="10" spans="3:23" x14ac:dyDescent="0.25">
      <c r="C10" s="29"/>
      <c r="D10" s="28"/>
      <c r="E10" s="28"/>
      <c r="F10" s="28"/>
      <c r="G10" s="26"/>
      <c r="H10" s="28"/>
      <c r="I10" s="29"/>
      <c r="J10" s="28"/>
      <c r="K10" s="29"/>
      <c r="L10" s="28"/>
      <c r="M10" s="29"/>
      <c r="N10" s="28"/>
      <c r="O10" s="26"/>
      <c r="P10" s="28"/>
      <c r="Q10" s="26"/>
      <c r="R10" s="28"/>
      <c r="S10" s="26"/>
      <c r="T10" s="28"/>
      <c r="U10" s="26"/>
      <c r="V10" s="26"/>
      <c r="W10" s="41"/>
    </row>
    <row r="11" spans="3:23" x14ac:dyDescent="0.25">
      <c r="C11" s="29"/>
      <c r="D11" s="28"/>
      <c r="E11" s="28"/>
      <c r="F11" s="28"/>
      <c r="G11" s="26"/>
      <c r="H11" s="28"/>
      <c r="I11" s="29"/>
      <c r="J11" s="28"/>
      <c r="K11" s="29"/>
      <c r="L11" s="28"/>
      <c r="M11" s="29"/>
      <c r="N11" s="28"/>
      <c r="O11" s="26"/>
      <c r="P11" s="28"/>
      <c r="Q11" s="26"/>
      <c r="R11" s="28"/>
      <c r="S11" s="26"/>
      <c r="T11" s="28"/>
      <c r="U11" s="26"/>
      <c r="V11" s="26"/>
      <c r="W11" s="41"/>
    </row>
    <row r="12" spans="3:23" x14ac:dyDescent="0.25">
      <c r="C12" s="40"/>
      <c r="D12" s="28"/>
      <c r="E12" s="28"/>
      <c r="F12" s="28"/>
      <c r="G12" s="26"/>
      <c r="H12" s="28"/>
      <c r="I12" s="29"/>
      <c r="J12" s="28"/>
      <c r="K12" s="29"/>
      <c r="L12" s="28"/>
      <c r="M12" s="29"/>
      <c r="N12" s="28"/>
      <c r="O12" s="26"/>
      <c r="P12" s="28"/>
      <c r="Q12" s="26"/>
      <c r="R12" s="28"/>
      <c r="S12" s="26"/>
      <c r="T12" s="28"/>
      <c r="U12" s="26"/>
      <c r="V12" s="26"/>
      <c r="W12" s="41"/>
    </row>
    <row r="13" spans="3:23" x14ac:dyDescent="0.25">
      <c r="C13" s="40"/>
      <c r="D13" s="28"/>
      <c r="E13" s="28"/>
      <c r="F13" s="28"/>
      <c r="G13" s="26"/>
      <c r="H13" s="28"/>
      <c r="I13" s="29"/>
      <c r="J13" s="28"/>
      <c r="K13" s="29"/>
      <c r="L13" s="28"/>
      <c r="M13" s="29"/>
      <c r="N13" s="28"/>
      <c r="O13" s="26"/>
      <c r="P13" s="28"/>
      <c r="Q13" s="26"/>
      <c r="R13" s="28"/>
      <c r="S13" s="26"/>
      <c r="T13" s="28"/>
      <c r="U13" s="26"/>
      <c r="V13" s="26"/>
      <c r="W13" s="41"/>
    </row>
    <row r="14" spans="3:23" x14ac:dyDescent="0.25">
      <c r="C14" s="40"/>
      <c r="D14" s="28"/>
      <c r="E14" s="28"/>
      <c r="F14" s="28"/>
      <c r="G14" s="26"/>
      <c r="H14" s="28"/>
      <c r="I14" s="29"/>
      <c r="J14" s="28"/>
      <c r="K14" s="29"/>
      <c r="L14" s="28"/>
      <c r="M14" s="29"/>
      <c r="N14" s="28"/>
      <c r="O14" s="26"/>
      <c r="P14" s="28"/>
      <c r="Q14" s="26"/>
      <c r="R14" s="28"/>
      <c r="S14" s="26"/>
      <c r="T14" s="28"/>
      <c r="U14" s="26"/>
      <c r="V14" s="26"/>
      <c r="W14" s="41"/>
    </row>
    <row r="15" spans="3:23" x14ac:dyDescent="0.25">
      <c r="C15" s="40"/>
      <c r="D15" s="28"/>
      <c r="E15" s="28"/>
      <c r="F15" s="28"/>
      <c r="G15" s="26"/>
      <c r="H15" s="28"/>
      <c r="I15" s="29"/>
      <c r="J15" s="28"/>
      <c r="K15" s="29"/>
      <c r="L15" s="28"/>
      <c r="M15" s="29"/>
      <c r="N15" s="28"/>
      <c r="O15" s="26"/>
      <c r="P15" s="28"/>
      <c r="Q15" s="26"/>
      <c r="R15" s="28"/>
      <c r="S15" s="26"/>
      <c r="T15" s="28"/>
      <c r="U15" s="26"/>
      <c r="V15" s="26"/>
      <c r="W15" s="41"/>
    </row>
    <row r="16" spans="3:23" x14ac:dyDescent="0.25">
      <c r="C16" s="29"/>
      <c r="D16" s="28"/>
      <c r="E16" s="28"/>
      <c r="F16" s="28"/>
      <c r="G16" s="26"/>
      <c r="H16" s="28"/>
      <c r="I16" s="29"/>
      <c r="J16" s="28"/>
      <c r="K16" s="29"/>
      <c r="L16" s="28"/>
      <c r="M16" s="29"/>
      <c r="N16" s="28"/>
      <c r="O16" s="26"/>
      <c r="P16" s="28"/>
      <c r="Q16" s="26"/>
      <c r="R16" s="28"/>
      <c r="S16" s="26"/>
      <c r="T16" s="28"/>
      <c r="U16" s="26"/>
      <c r="V16" s="26"/>
      <c r="W16" s="41"/>
    </row>
    <row r="17" spans="3:23" x14ac:dyDescent="0.25">
      <c r="C17" s="40"/>
      <c r="D17" s="28"/>
      <c r="E17" s="28"/>
      <c r="F17" s="28"/>
      <c r="G17" s="26"/>
      <c r="H17" s="28"/>
      <c r="I17" s="29"/>
      <c r="J17" s="28"/>
      <c r="K17" s="29"/>
      <c r="L17" s="28"/>
      <c r="M17" s="29"/>
      <c r="N17" s="28"/>
      <c r="O17" s="26"/>
      <c r="P17" s="28"/>
      <c r="Q17" s="26"/>
      <c r="R17" s="28"/>
      <c r="S17" s="26"/>
      <c r="T17" s="28"/>
      <c r="U17" s="26"/>
      <c r="V17" s="26"/>
      <c r="W17" s="41"/>
    </row>
    <row r="18" spans="3:23" x14ac:dyDescent="0.25">
      <c r="C18" s="40"/>
      <c r="D18" s="28"/>
      <c r="E18" s="28"/>
      <c r="F18" s="28"/>
      <c r="G18" s="26"/>
      <c r="H18" s="28"/>
      <c r="I18" s="29"/>
      <c r="J18" s="28"/>
      <c r="K18" s="29"/>
      <c r="L18" s="28"/>
      <c r="M18" s="29"/>
      <c r="N18" s="28"/>
      <c r="O18" s="26"/>
      <c r="P18" s="28"/>
      <c r="Q18" s="26"/>
      <c r="R18" s="28"/>
      <c r="S18" s="26"/>
      <c r="T18" s="28"/>
      <c r="U18" s="26"/>
      <c r="V18" s="26"/>
      <c r="W18" s="41"/>
    </row>
    <row r="19" spans="3:23" x14ac:dyDescent="0.25">
      <c r="C19" s="40"/>
      <c r="D19" s="28"/>
      <c r="E19" s="28"/>
      <c r="F19" s="28"/>
      <c r="G19" s="26"/>
      <c r="H19" s="28"/>
      <c r="I19" s="29"/>
      <c r="J19" s="28"/>
      <c r="K19" s="29"/>
      <c r="L19" s="28"/>
      <c r="M19" s="29"/>
      <c r="N19" s="28"/>
      <c r="O19" s="26"/>
      <c r="P19" s="28"/>
      <c r="Q19" s="26"/>
      <c r="R19" s="28"/>
      <c r="S19" s="26"/>
      <c r="T19" s="28"/>
      <c r="U19" s="26"/>
      <c r="V19" s="26"/>
      <c r="W19" s="41"/>
    </row>
    <row r="20" spans="3:23" x14ac:dyDescent="0.25">
      <c r="C20" s="40"/>
      <c r="D20" s="28"/>
      <c r="E20" s="28"/>
      <c r="F20" s="28"/>
      <c r="G20" s="26"/>
      <c r="H20" s="28"/>
      <c r="I20" s="29"/>
      <c r="J20" s="28"/>
      <c r="K20" s="29"/>
      <c r="L20" s="28"/>
      <c r="M20" s="29"/>
      <c r="N20" s="28"/>
      <c r="O20" s="26"/>
      <c r="P20" s="28"/>
      <c r="Q20" s="26"/>
      <c r="R20" s="28"/>
      <c r="S20" s="26"/>
      <c r="T20" s="28"/>
      <c r="U20" s="26"/>
      <c r="V20" s="26"/>
      <c r="W20" s="41"/>
    </row>
    <row r="21" spans="3:23" x14ac:dyDescent="0.25">
      <c r="C21" s="26"/>
      <c r="D21" s="28"/>
      <c r="E21" s="28"/>
      <c r="F21" s="28"/>
      <c r="G21" s="26"/>
      <c r="H21" s="28"/>
      <c r="I21" s="29"/>
      <c r="J21" s="28"/>
      <c r="K21" s="29"/>
      <c r="L21" s="28"/>
      <c r="M21" s="29"/>
      <c r="N21" s="28"/>
      <c r="O21" s="26"/>
      <c r="P21" s="28"/>
      <c r="Q21" s="26"/>
      <c r="R21" s="28"/>
      <c r="S21" s="26"/>
      <c r="T21" s="28"/>
      <c r="U21" s="26"/>
      <c r="V21" s="26"/>
      <c r="W21" s="41"/>
    </row>
    <row r="22" spans="3:23" x14ac:dyDescent="0.25">
      <c r="C22" s="29"/>
      <c r="D22" s="28"/>
      <c r="E22" s="28"/>
      <c r="F22" s="28"/>
      <c r="G22" s="26"/>
      <c r="H22" s="28"/>
      <c r="I22" s="29"/>
      <c r="J22" s="28"/>
      <c r="K22" s="29"/>
      <c r="L22" s="28"/>
      <c r="M22" s="29"/>
      <c r="N22" s="28"/>
      <c r="O22" s="26"/>
      <c r="P22" s="28"/>
      <c r="Q22" s="26"/>
      <c r="R22" s="28"/>
      <c r="S22" s="26"/>
      <c r="T22" s="28"/>
      <c r="U22" s="26"/>
      <c r="V22" s="26"/>
      <c r="W22" s="41"/>
    </row>
    <row r="23" spans="3:23" x14ac:dyDescent="0.25">
      <c r="C23" s="26"/>
      <c r="D23" s="40"/>
      <c r="E23" s="40"/>
      <c r="F23" s="40"/>
      <c r="G23" s="29"/>
      <c r="H23" s="40"/>
      <c r="I23" s="29"/>
      <c r="J23" s="40"/>
      <c r="K23" s="29"/>
      <c r="L23" s="40"/>
      <c r="M23" s="29"/>
      <c r="N23" s="40"/>
      <c r="O23" s="29"/>
      <c r="P23" s="40"/>
      <c r="Q23" s="29"/>
      <c r="R23" s="40"/>
      <c r="S23" s="29"/>
      <c r="T23" s="40"/>
      <c r="U23" s="29"/>
      <c r="V23" s="29"/>
      <c r="W23" s="41"/>
    </row>
    <row r="24" spans="3:23" x14ac:dyDescent="0.25">
      <c r="C24" s="26"/>
      <c r="D24" s="40"/>
      <c r="E24" s="40"/>
      <c r="F24" s="40"/>
      <c r="G24" s="29"/>
      <c r="H24" s="40"/>
      <c r="I24" s="29"/>
      <c r="J24" s="40"/>
      <c r="K24" s="29"/>
      <c r="L24" s="40"/>
      <c r="M24" s="29"/>
      <c r="N24" s="40"/>
      <c r="O24" s="29"/>
      <c r="P24" s="40"/>
      <c r="Q24" s="29"/>
      <c r="R24" s="40"/>
      <c r="S24" s="29"/>
      <c r="T24" s="40"/>
      <c r="U24" s="29"/>
      <c r="V24" s="29"/>
      <c r="W24" s="41"/>
    </row>
    <row r="25" spans="3:23" x14ac:dyDescent="0.25">
      <c r="C25" s="29"/>
      <c r="D25" s="40"/>
      <c r="E25" s="40"/>
      <c r="F25" s="40"/>
      <c r="G25" s="29"/>
      <c r="H25" s="40"/>
      <c r="I25" s="29"/>
      <c r="J25" s="40"/>
      <c r="K25" s="29"/>
      <c r="L25" s="40"/>
      <c r="M25" s="29"/>
      <c r="N25" s="40"/>
      <c r="O25" s="29"/>
      <c r="P25" s="40"/>
      <c r="Q25" s="29"/>
      <c r="R25" s="40"/>
      <c r="S25" s="29"/>
      <c r="T25" s="40"/>
      <c r="U25" s="29"/>
      <c r="V25" s="29"/>
      <c r="W25" s="41"/>
    </row>
    <row r="26" spans="3:23" x14ac:dyDescent="0.25">
      <c r="C26" s="29"/>
      <c r="D26" s="29"/>
      <c r="E26" s="29"/>
      <c r="F26" s="29"/>
      <c r="G26" s="29"/>
      <c r="H26" s="29"/>
      <c r="I26" s="29"/>
      <c r="J26" s="29"/>
      <c r="K26" s="29"/>
      <c r="L26" s="29"/>
      <c r="M26" s="29"/>
      <c r="N26" s="29"/>
      <c r="O26" s="29"/>
      <c r="P26" s="29"/>
      <c r="Q26" s="29"/>
      <c r="R26" s="29"/>
      <c r="S26" s="29"/>
      <c r="T26" s="29"/>
      <c r="U26" s="29"/>
      <c r="V26" s="29"/>
      <c r="W26" s="41"/>
    </row>
    <row r="27" spans="3:23" x14ac:dyDescent="0.25">
      <c r="C27" s="41"/>
      <c r="D27" s="41"/>
      <c r="E27" s="41"/>
      <c r="F27" s="41"/>
      <c r="G27" s="41"/>
      <c r="H27" s="41"/>
      <c r="I27" s="41"/>
      <c r="J27" s="41"/>
      <c r="K27" s="41"/>
      <c r="L27" s="41"/>
      <c r="M27" s="41"/>
      <c r="N27" s="41"/>
      <c r="O27" s="41"/>
      <c r="P27" s="41"/>
      <c r="Q27" s="41"/>
      <c r="R27" s="41"/>
      <c r="S27" s="41"/>
      <c r="T27" s="41"/>
      <c r="U27" s="41"/>
      <c r="V27" s="41"/>
      <c r="W27" s="41"/>
    </row>
    <row r="28" spans="3:23" x14ac:dyDescent="0.25">
      <c r="C28" s="43"/>
      <c r="D28" s="43"/>
      <c r="E28" s="43"/>
      <c r="F28" s="43"/>
      <c r="G28" s="43"/>
      <c r="H28" s="43"/>
      <c r="I28" s="43"/>
      <c r="J28" s="43"/>
      <c r="K28" s="43"/>
      <c r="L28" s="43"/>
      <c r="M28" s="43"/>
      <c r="N28" s="43"/>
      <c r="O28" s="43"/>
      <c r="P28" s="43"/>
      <c r="Q28" s="43"/>
      <c r="R28" s="43"/>
      <c r="S28" s="43"/>
      <c r="T28" s="43"/>
      <c r="U28" s="43"/>
      <c r="V28" s="43"/>
      <c r="W28" s="41"/>
    </row>
    <row r="29" spans="3:23" ht="15.75" customHeight="1" x14ac:dyDescent="0.25">
      <c r="D29" s="265" t="e">
        <f>INDEX(S_Lookupsheet!$BO:$BO,E29)</f>
        <v>#N/A</v>
      </c>
      <c r="E29" s="265">
        <f>1+(COLUMN()-COLUMN($B$29))/2</f>
        <v>2.5</v>
      </c>
      <c r="F29" s="265" t="e">
        <f>INDEX(S_Lookupsheet!$BO:$BO,G29)</f>
        <v>#N/A</v>
      </c>
      <c r="G29" s="265">
        <f t="shared" ref="G29" si="0">1+(COLUMN()-COLUMN($B$29))/2</f>
        <v>3.5</v>
      </c>
      <c r="H29" s="265" t="e">
        <f>INDEX(S_Lookupsheet!$BO:$BO,I29)</f>
        <v>#N/A</v>
      </c>
      <c r="I29" s="265">
        <f t="shared" ref="I29" si="1">1+(COLUMN()-COLUMN($B$29))/2</f>
        <v>4.5</v>
      </c>
      <c r="J29" s="265" t="e">
        <f>INDEX(S_Lookupsheet!$BO:$BO,K29)</f>
        <v>#N/A</v>
      </c>
      <c r="K29" s="265">
        <f t="shared" ref="K29" si="2">1+(COLUMN()-COLUMN($B$29))/2</f>
        <v>5.5</v>
      </c>
      <c r="L29" s="265" t="e">
        <f>INDEX(S_Lookupsheet!$BO:$BO,M29)</f>
        <v>#N/A</v>
      </c>
      <c r="M29" s="265">
        <f t="shared" ref="M29" si="3">1+(COLUMN()-COLUMN($B$29))/2</f>
        <v>6.5</v>
      </c>
      <c r="N29" s="265" t="e">
        <f>INDEX(S_Lookupsheet!$BO:$BO,O29)</f>
        <v>#N/A</v>
      </c>
      <c r="O29" s="265">
        <f t="shared" ref="O29" si="4">1+(COLUMN()-COLUMN($B$29))/2</f>
        <v>7.5</v>
      </c>
      <c r="P29" s="265" t="e">
        <f>INDEX(S_Lookupsheet!$BO:$BO,Q29)</f>
        <v>#N/A</v>
      </c>
      <c r="Q29" s="265">
        <f t="shared" ref="Q29" si="5">1+(COLUMN()-COLUMN($B$29))/2</f>
        <v>8.5</v>
      </c>
      <c r="R29" s="265" t="e">
        <f>INDEX(S_Lookupsheet!$BO:$BO,S29)</f>
        <v>#N/A</v>
      </c>
      <c r="S29" s="265">
        <f t="shared" ref="S29" si="6">1+(COLUMN()-COLUMN($B$29))/2</f>
        <v>9.5</v>
      </c>
      <c r="T29" s="265" t="e">
        <f>INDEX(S_Lookupsheet!$BO:$BO,U29)</f>
        <v>#N/A</v>
      </c>
      <c r="U29" s="265">
        <f t="shared" ref="U29" si="7">1+(COLUMN()-COLUMN($B$29))/2</f>
        <v>10.5</v>
      </c>
      <c r="W29" s="41"/>
    </row>
    <row r="30" spans="3:23" ht="30.75" customHeight="1" x14ac:dyDescent="0.25">
      <c r="C30" s="255" t="s">
        <v>395</v>
      </c>
      <c r="D30" s="335" t="str">
        <f>INDEX(S_Lookupsheet!$BK:$BK,'4 Opsummering'!E29)</f>
        <v>Organisationens kontekst</v>
      </c>
      <c r="E30" s="336"/>
      <c r="F30" s="335" t="str">
        <f>INDEX(S_Lookupsheet!$BK:$BK,'4 Opsummering'!G29)</f>
        <v>Lederskab</v>
      </c>
      <c r="G30" s="336"/>
      <c r="H30" s="335" t="str">
        <f>INDEX(S_Lookupsheet!$BK:$BK,'4 Opsummering'!I29)</f>
        <v>Planlægning</v>
      </c>
      <c r="I30" s="336"/>
      <c r="J30" s="335" t="str">
        <f>INDEX(S_Lookupsheet!$BK:$BK,'4 Opsummering'!K29)</f>
        <v>Support</v>
      </c>
      <c r="K30" s="336"/>
      <c r="L30" s="335" t="str">
        <f>INDEX(S_Lookupsheet!$BK:$BK,'4 Opsummering'!M29)</f>
        <v xml:space="preserve">Drift </v>
      </c>
      <c r="M30" s="336"/>
      <c r="N30" s="335" t="str">
        <f>INDEX(S_Lookupsheet!$BK:$BK,'4 Opsummering'!O29)</f>
        <v>Evaluering</v>
      </c>
      <c r="O30" s="336"/>
      <c r="P30" s="335" t="str">
        <f>INDEX(S_Lookupsheet!$BK:$BK,'4 Opsummering'!Q29)</f>
        <v>Løbende forbedringer</v>
      </c>
      <c r="Q30" s="336"/>
      <c r="R30" s="335" t="str">
        <f>INDEX(S_Lookupsheet!$BK:$BK,'4 Opsummering'!S29)</f>
        <v>Leverandørstyring</v>
      </c>
      <c r="S30" s="336"/>
      <c r="T30" s="335" t="str">
        <f>INDEX(S_Lookupsheet!$BK:$BK,'4 Opsummering'!U29)</f>
        <v>Beredskabsplaner</v>
      </c>
      <c r="U30" s="336"/>
      <c r="V30" s="226"/>
      <c r="W30" s="41"/>
    </row>
    <row r="31" spans="3:23" ht="15.75" customHeight="1" x14ac:dyDescent="0.25">
      <c r="C31" s="337" t="str">
        <f>S_Lookupsheet!BL1</f>
        <v>Egenvurdering af implementering</v>
      </c>
      <c r="D31" s="339" t="s">
        <v>398</v>
      </c>
      <c r="E31" s="326" t="e">
        <f>INDEX(S_Lookupsheet!$BL$2:$BL$10,E29-1)</f>
        <v>#N/A</v>
      </c>
      <c r="F31" s="339" t="s">
        <v>398</v>
      </c>
      <c r="G31" s="326" t="e">
        <f>INDEX(S_Lookupsheet!$BL$2:$BL$10,G29-1)</f>
        <v>#N/A</v>
      </c>
      <c r="H31" s="339" t="s">
        <v>398</v>
      </c>
      <c r="I31" s="326" t="e">
        <f>INDEX(S_Lookupsheet!$BL$2:$BL$10,I29-1)</f>
        <v>#N/A</v>
      </c>
      <c r="J31" s="339" t="s">
        <v>398</v>
      </c>
      <c r="K31" s="326" t="e">
        <f>INDEX(S_Lookupsheet!$BL$2:$BL$10,K29-1)</f>
        <v>#N/A</v>
      </c>
      <c r="L31" s="339" t="s">
        <v>398</v>
      </c>
      <c r="M31" s="326" t="e">
        <f>INDEX(S_Lookupsheet!$BL$2:$BL$10,M29-1)</f>
        <v>#N/A</v>
      </c>
      <c r="N31" s="339" t="s">
        <v>398</v>
      </c>
      <c r="O31" s="326" t="e">
        <f>INDEX(S_Lookupsheet!$BL$2:$BL$10,O29-1)</f>
        <v>#N/A</v>
      </c>
      <c r="P31" s="339" t="s">
        <v>398</v>
      </c>
      <c r="Q31" s="326" t="e">
        <f>INDEX(S_Lookupsheet!$BL$2:$BL$10,Q29-1)</f>
        <v>#N/A</v>
      </c>
      <c r="R31" s="339" t="s">
        <v>398</v>
      </c>
      <c r="S31" s="326" t="e">
        <f>INDEX(S_Lookupsheet!$BL$2:$BL$10,S29-1)</f>
        <v>#N/A</v>
      </c>
      <c r="T31" s="339" t="s">
        <v>398</v>
      </c>
      <c r="U31" s="326" t="e">
        <f>INDEX(S_Lookupsheet!$BL$2:$BL$10,U29-1)</f>
        <v>#N/A</v>
      </c>
      <c r="V31" s="225"/>
      <c r="W31" s="41"/>
    </row>
    <row r="32" spans="3:23" ht="29.25" customHeight="1" thickBot="1" x14ac:dyDescent="0.3">
      <c r="C32" s="338"/>
      <c r="D32" s="340"/>
      <c r="E32" s="327"/>
      <c r="F32" s="340"/>
      <c r="G32" s="327"/>
      <c r="H32" s="340"/>
      <c r="I32" s="327"/>
      <c r="J32" s="340"/>
      <c r="K32" s="327"/>
      <c r="L32" s="340"/>
      <c r="M32" s="327"/>
      <c r="N32" s="340"/>
      <c r="O32" s="327"/>
      <c r="P32" s="340"/>
      <c r="Q32" s="327"/>
      <c r="R32" s="340"/>
      <c r="S32" s="327"/>
      <c r="T32" s="340"/>
      <c r="U32" s="327"/>
      <c r="V32" s="225"/>
      <c r="W32" s="41"/>
    </row>
    <row r="33" spans="3:23" ht="39" customHeight="1" x14ac:dyDescent="0.25">
      <c r="C33" s="286" t="str">
        <f>S_Lookupsheet!BM1</f>
        <v>Ønsket modenhedsniveau</v>
      </c>
      <c r="D33" s="324">
        <f>INDEX(S_Lookupsheet!$BM$2:$BM$10,E29-1)</f>
        <v>4</v>
      </c>
      <c r="E33" s="325"/>
      <c r="F33" s="324">
        <f>INDEX(S_Lookupsheet!$BM$2:$BM$10,G29-1)</f>
        <v>4</v>
      </c>
      <c r="G33" s="325"/>
      <c r="H33" s="324">
        <f>INDEX(S_Lookupsheet!$BM$2:$BM$10,I29-1)</f>
        <v>4</v>
      </c>
      <c r="I33" s="325"/>
      <c r="J33" s="324">
        <f>INDEX(S_Lookupsheet!$BM$2:$BM$10,K29-1)</f>
        <v>4</v>
      </c>
      <c r="K33" s="325"/>
      <c r="L33" s="324">
        <f>INDEX(S_Lookupsheet!$BM$2:$BM$10,M29-1)</f>
        <v>4</v>
      </c>
      <c r="M33" s="325"/>
      <c r="N33" s="324">
        <f>INDEX(S_Lookupsheet!$BM$2:$BM$10,O29-1)</f>
        <v>4</v>
      </c>
      <c r="O33" s="325"/>
      <c r="P33" s="324">
        <f>INDEX(S_Lookupsheet!$BM$2:$BM$10,Q29-1)</f>
        <v>4</v>
      </c>
      <c r="Q33" s="325"/>
      <c r="R33" s="324">
        <f>INDEX(S_Lookupsheet!$BM$2:$BM$10,S29-1)</f>
        <v>4</v>
      </c>
      <c r="S33" s="325"/>
      <c r="T33" s="324">
        <f>INDEX(S_Lookupsheet!$BM$2:$BM$10,U29-1)</f>
        <v>4</v>
      </c>
      <c r="U33" s="325"/>
      <c r="V33" s="225"/>
      <c r="W33" s="41"/>
    </row>
    <row r="34" spans="3:23" ht="18.75" customHeight="1" x14ac:dyDescent="0.25">
      <c r="C34" s="26"/>
      <c r="D34" s="26"/>
      <c r="E34" s="26"/>
      <c r="F34" s="26"/>
      <c r="G34" s="26"/>
      <c r="H34" s="26"/>
      <c r="I34" s="26"/>
      <c r="J34" s="26"/>
      <c r="K34" s="26"/>
      <c r="L34" s="26"/>
      <c r="M34" s="26"/>
      <c r="N34" s="26"/>
      <c r="O34" s="26"/>
      <c r="P34" s="26"/>
      <c r="Q34" s="26"/>
      <c r="R34" s="26"/>
      <c r="S34" s="26"/>
      <c r="T34" s="26"/>
      <c r="U34" s="26"/>
      <c r="V34" s="26"/>
      <c r="W34" s="41"/>
    </row>
    <row r="35" spans="3:23" x14ac:dyDescent="0.25">
      <c r="C35" s="41"/>
      <c r="D35" s="41"/>
      <c r="E35" s="41"/>
      <c r="F35" s="41"/>
      <c r="G35" s="41"/>
      <c r="H35" s="41"/>
      <c r="I35" s="41"/>
      <c r="J35" s="41"/>
      <c r="K35" s="41"/>
      <c r="L35" s="41"/>
      <c r="M35" s="41"/>
      <c r="N35" s="41"/>
      <c r="O35" s="41"/>
      <c r="P35" s="41"/>
      <c r="Q35" s="41"/>
      <c r="R35" s="41"/>
      <c r="S35" s="41"/>
      <c r="T35" s="41"/>
      <c r="U35" s="41"/>
      <c r="V35" s="41"/>
      <c r="W35" s="41"/>
    </row>
    <row r="36" spans="3:23" x14ac:dyDescent="0.25">
      <c r="C36" s="43"/>
      <c r="D36" s="43"/>
      <c r="E36" s="43"/>
      <c r="F36" s="43"/>
      <c r="G36" s="43"/>
      <c r="H36" s="43"/>
      <c r="I36" s="43"/>
      <c r="J36" s="43"/>
      <c r="K36" s="43"/>
      <c r="L36" s="43"/>
      <c r="M36" s="43"/>
      <c r="N36" s="43"/>
      <c r="O36" s="43"/>
      <c r="P36" s="43"/>
      <c r="Q36" s="43"/>
      <c r="R36" s="43"/>
      <c r="S36" s="43"/>
      <c r="T36" s="43"/>
      <c r="U36" s="43"/>
      <c r="V36" s="43"/>
      <c r="W36" s="41"/>
    </row>
    <row r="37" spans="3:23" ht="49.15" customHeight="1" x14ac:dyDescent="0.25">
      <c r="C37" s="341" t="str">
        <f>C1</f>
        <v xml:space="preserve">Ledelsesrapport for </v>
      </c>
      <c r="D37" s="341"/>
      <c r="E37" s="341"/>
      <c r="F37" s="341"/>
      <c r="G37" s="341"/>
      <c r="H37" s="341"/>
      <c r="I37" s="341"/>
      <c r="J37" s="341"/>
      <c r="K37" s="341"/>
      <c r="L37" s="341"/>
      <c r="M37" s="341"/>
      <c r="N37" s="341"/>
      <c r="O37" s="341"/>
      <c r="P37" s="341"/>
      <c r="Q37" s="341"/>
      <c r="R37" s="341"/>
      <c r="S37" s="341"/>
      <c r="T37" s="341"/>
      <c r="U37" s="341"/>
      <c r="V37" s="341"/>
      <c r="W37" s="41"/>
    </row>
    <row r="38" spans="3:23" x14ac:dyDescent="0.25">
      <c r="C38" s="42"/>
      <c r="D38" s="42"/>
      <c r="E38" s="42"/>
      <c r="F38" s="42"/>
      <c r="G38" s="42"/>
      <c r="H38" s="42"/>
      <c r="I38" s="42"/>
      <c r="J38" s="42"/>
      <c r="K38" s="42"/>
      <c r="L38" s="42"/>
      <c r="M38" s="42"/>
      <c r="N38" s="42"/>
      <c r="O38" s="42"/>
      <c r="P38" s="42"/>
      <c r="Q38" s="42"/>
      <c r="R38" s="42"/>
      <c r="S38" s="42"/>
      <c r="T38" s="42"/>
      <c r="U38" s="42"/>
      <c r="V38" s="42"/>
      <c r="W38" s="41"/>
    </row>
    <row r="39" spans="3:23" x14ac:dyDescent="0.25">
      <c r="C39" s="43"/>
      <c r="D39" s="43"/>
      <c r="E39" s="43"/>
      <c r="F39" s="43"/>
      <c r="G39" s="43"/>
      <c r="H39" s="43"/>
      <c r="I39" s="43"/>
      <c r="J39" s="43"/>
      <c r="K39" s="43"/>
      <c r="L39" s="43"/>
      <c r="M39" s="43"/>
      <c r="N39" s="43"/>
      <c r="O39" s="43"/>
      <c r="P39" s="43"/>
      <c r="Q39" s="43"/>
      <c r="R39" s="43"/>
      <c r="S39" s="43"/>
      <c r="T39" s="43"/>
      <c r="U39" s="43"/>
      <c r="V39" s="43"/>
      <c r="W39" s="41"/>
    </row>
    <row r="40" spans="3:23" ht="24" customHeight="1" x14ac:dyDescent="0.25">
      <c r="C40" s="229"/>
      <c r="E40" s="330" t="str">
        <f>S_InputArk!H5&amp;S_InputArk!I5</f>
        <v>1.Organisationens kontekst</v>
      </c>
      <c r="F40" s="330"/>
      <c r="G40" s="330"/>
      <c r="H40" s="330"/>
      <c r="I40" s="330"/>
      <c r="J40" s="245"/>
      <c r="K40" s="228"/>
      <c r="L40" s="245"/>
      <c r="M40" s="228"/>
      <c r="N40" s="245"/>
      <c r="O40" s="244"/>
      <c r="P40" s="245"/>
      <c r="Q40" s="329" t="str">
        <f>S_InputArk!H6&amp;S_InputArk!I6</f>
        <v>2.Lederskab</v>
      </c>
      <c r="R40" s="329"/>
      <c r="S40" s="329"/>
      <c r="T40" s="329"/>
      <c r="U40" s="329"/>
      <c r="V40" s="228"/>
      <c r="W40" s="41"/>
    </row>
    <row r="41" spans="3:23" ht="15" customHeight="1" x14ac:dyDescent="0.25">
      <c r="C41" s="229"/>
      <c r="D41" s="245"/>
      <c r="E41" s="229"/>
      <c r="F41" s="245"/>
      <c r="G41" s="229"/>
      <c r="H41" s="245"/>
      <c r="I41" s="229"/>
      <c r="J41" s="245"/>
      <c r="K41" s="228"/>
      <c r="L41" s="245"/>
      <c r="M41" s="228"/>
      <c r="N41" s="245"/>
      <c r="O41" s="244"/>
      <c r="P41" s="245"/>
      <c r="Q41" s="228"/>
      <c r="R41" s="245"/>
      <c r="S41" s="228"/>
      <c r="T41" s="245"/>
      <c r="U41" s="228"/>
      <c r="V41" s="228"/>
      <c r="W41" s="41"/>
    </row>
    <row r="42" spans="3:23" x14ac:dyDescent="0.25">
      <c r="C42" s="26"/>
      <c r="D42" s="28"/>
      <c r="E42" s="28"/>
      <c r="F42" s="28"/>
      <c r="G42" s="26"/>
      <c r="H42" s="28"/>
      <c r="I42" s="29"/>
      <c r="J42" s="28"/>
      <c r="K42" s="29"/>
      <c r="L42" s="28"/>
      <c r="M42" s="26"/>
      <c r="N42" s="28"/>
      <c r="O42" s="26"/>
      <c r="P42" s="28"/>
      <c r="Q42" s="26"/>
      <c r="R42" s="28"/>
      <c r="S42" s="26"/>
      <c r="T42" s="28"/>
      <c r="U42" s="26"/>
      <c r="V42" s="26"/>
      <c r="W42" s="41"/>
    </row>
    <row r="43" spans="3:23" x14ac:dyDescent="0.25">
      <c r="G43" s="26"/>
      <c r="I43" s="333"/>
      <c r="J43" s="333"/>
      <c r="K43" s="333"/>
      <c r="L43" s="248"/>
      <c r="M43" s="26"/>
      <c r="N43" s="248"/>
      <c r="O43" s="332"/>
      <c r="P43" s="332"/>
      <c r="Q43" s="332"/>
      <c r="R43" s="332"/>
      <c r="S43" s="332"/>
      <c r="T43" s="332"/>
      <c r="U43" s="332"/>
      <c r="V43" s="332"/>
      <c r="W43" s="41"/>
    </row>
    <row r="44" spans="3:23" x14ac:dyDescent="0.25">
      <c r="G44" s="26"/>
      <c r="I44" s="333"/>
      <c r="J44" s="333"/>
      <c r="K44" s="333"/>
      <c r="L44" s="248"/>
      <c r="M44" s="29"/>
      <c r="N44" s="248"/>
      <c r="O44" s="332"/>
      <c r="P44" s="332"/>
      <c r="Q44" s="332"/>
      <c r="R44" s="332"/>
      <c r="S44" s="332"/>
      <c r="T44" s="332"/>
      <c r="U44" s="332"/>
      <c r="V44" s="332"/>
      <c r="W44" s="41"/>
    </row>
    <row r="45" spans="3:23" x14ac:dyDescent="0.25">
      <c r="C45" s="40"/>
      <c r="D45" s="28"/>
      <c r="E45" s="28"/>
      <c r="F45" s="28"/>
      <c r="G45" s="26"/>
      <c r="H45" s="28"/>
      <c r="I45" s="38"/>
      <c r="J45" s="28"/>
      <c r="K45" s="38"/>
      <c r="L45" s="28"/>
      <c r="M45" s="29"/>
      <c r="N45" s="28"/>
      <c r="O45" s="26"/>
      <c r="P45" s="28"/>
      <c r="Q45" s="26"/>
      <c r="R45" s="28"/>
      <c r="S45" s="26"/>
      <c r="T45" s="28"/>
      <c r="U45" s="26"/>
      <c r="V45" s="26"/>
      <c r="W45" s="41"/>
    </row>
    <row r="46" spans="3:23" x14ac:dyDescent="0.25">
      <c r="C46" s="29"/>
      <c r="D46" s="28"/>
      <c r="E46" s="28"/>
      <c r="F46" s="28"/>
      <c r="G46" s="26"/>
      <c r="H46" s="28"/>
      <c r="I46" s="29"/>
      <c r="J46" s="28"/>
      <c r="K46" s="29"/>
      <c r="L46" s="28"/>
      <c r="M46" s="29"/>
      <c r="N46" s="28"/>
      <c r="O46" s="26"/>
      <c r="P46" s="28"/>
      <c r="Q46" s="26"/>
      <c r="R46" s="28"/>
      <c r="S46" s="26"/>
      <c r="T46" s="28"/>
      <c r="U46" s="26"/>
      <c r="V46" s="26"/>
      <c r="W46" s="41"/>
    </row>
    <row r="47" spans="3:23" x14ac:dyDescent="0.25">
      <c r="C47" s="29"/>
      <c r="D47" s="28"/>
      <c r="E47" s="28"/>
      <c r="F47" s="28"/>
      <c r="G47" s="26"/>
      <c r="H47" s="28"/>
      <c r="I47" s="29"/>
      <c r="J47" s="28"/>
      <c r="K47" s="29"/>
      <c r="L47" s="28"/>
      <c r="M47" s="29"/>
      <c r="N47" s="28"/>
      <c r="O47" s="26"/>
      <c r="P47" s="28"/>
      <c r="Q47" s="26"/>
      <c r="R47" s="28"/>
      <c r="S47" s="26"/>
      <c r="T47" s="28"/>
      <c r="U47" s="26"/>
      <c r="V47" s="26"/>
      <c r="W47" s="41"/>
    </row>
    <row r="48" spans="3:23" x14ac:dyDescent="0.25">
      <c r="C48" s="40"/>
      <c r="D48" s="28"/>
      <c r="E48" s="28"/>
      <c r="F48" s="28"/>
      <c r="G48" s="26"/>
      <c r="H48" s="28"/>
      <c r="I48" s="29"/>
      <c r="J48" s="28"/>
      <c r="K48" s="29"/>
      <c r="L48" s="28"/>
      <c r="M48" s="29"/>
      <c r="N48" s="28"/>
      <c r="O48" s="26"/>
      <c r="P48" s="28"/>
      <c r="Q48" s="26"/>
      <c r="R48" s="28"/>
      <c r="S48" s="26"/>
      <c r="T48" s="28"/>
      <c r="U48" s="26"/>
      <c r="V48" s="26"/>
      <c r="W48" s="41"/>
    </row>
    <row r="49" spans="3:23" x14ac:dyDescent="0.25">
      <c r="C49" s="40"/>
      <c r="D49" s="28"/>
      <c r="E49" s="28"/>
      <c r="F49" s="28"/>
      <c r="G49" s="26"/>
      <c r="H49" s="28"/>
      <c r="I49" s="29"/>
      <c r="J49" s="28"/>
      <c r="K49" s="29"/>
      <c r="L49" s="28"/>
      <c r="M49" s="29"/>
      <c r="N49" s="28"/>
      <c r="O49" s="26"/>
      <c r="P49" s="28"/>
      <c r="Q49" s="26"/>
      <c r="R49" s="28"/>
      <c r="S49" s="26"/>
      <c r="T49" s="28"/>
      <c r="U49" s="26"/>
      <c r="V49" s="26"/>
      <c r="W49" s="41"/>
    </row>
    <row r="50" spans="3:23" x14ac:dyDescent="0.25">
      <c r="C50" s="40"/>
      <c r="D50" s="28"/>
      <c r="E50" s="28"/>
      <c r="F50" s="28"/>
      <c r="G50" s="26"/>
      <c r="H50" s="28"/>
      <c r="I50" s="29"/>
      <c r="J50" s="28"/>
      <c r="K50" s="29"/>
      <c r="L50" s="28"/>
      <c r="M50" s="29"/>
      <c r="N50" s="28"/>
      <c r="O50" s="26"/>
      <c r="P50" s="28"/>
      <c r="Q50" s="26"/>
      <c r="R50" s="28"/>
      <c r="S50" s="26"/>
      <c r="T50" s="28"/>
      <c r="U50" s="26"/>
      <c r="V50" s="26"/>
      <c r="W50" s="41"/>
    </row>
    <row r="51" spans="3:23" x14ac:dyDescent="0.25">
      <c r="C51" s="40"/>
      <c r="D51" s="28"/>
      <c r="E51" s="28"/>
      <c r="F51" s="28"/>
      <c r="G51" s="26"/>
      <c r="H51" s="28"/>
      <c r="I51" s="29"/>
      <c r="J51" s="28"/>
      <c r="K51" s="29"/>
      <c r="L51" s="28"/>
      <c r="M51" s="29"/>
      <c r="N51" s="28"/>
      <c r="O51" s="26"/>
      <c r="P51" s="28"/>
      <c r="Q51" s="26"/>
      <c r="R51" s="28"/>
      <c r="S51" s="26"/>
      <c r="T51" s="28"/>
      <c r="U51" s="26"/>
      <c r="V51" s="26"/>
      <c r="W51" s="41"/>
    </row>
    <row r="52" spans="3:23" x14ac:dyDescent="0.25">
      <c r="C52" s="29"/>
      <c r="D52" s="28"/>
      <c r="E52" s="28"/>
      <c r="F52" s="28"/>
      <c r="G52" s="26"/>
      <c r="H52" s="28"/>
      <c r="I52" s="29"/>
      <c r="J52" s="28"/>
      <c r="K52" s="29"/>
      <c r="L52" s="28"/>
      <c r="M52" s="29"/>
      <c r="N52" s="28"/>
      <c r="O52" s="26"/>
      <c r="P52" s="28"/>
      <c r="Q52" s="26"/>
      <c r="R52" s="28"/>
      <c r="S52" s="26"/>
      <c r="T52" s="28"/>
      <c r="U52" s="26"/>
      <c r="V52" s="26"/>
      <c r="W52" s="41"/>
    </row>
    <row r="53" spans="3:23" x14ac:dyDescent="0.25">
      <c r="C53" s="40"/>
      <c r="D53" s="28"/>
      <c r="E53" s="28"/>
      <c r="F53" s="28"/>
      <c r="G53" s="26"/>
      <c r="H53" s="28"/>
      <c r="I53" s="29"/>
      <c r="J53" s="28"/>
      <c r="K53" s="29"/>
      <c r="L53" s="28"/>
      <c r="M53" s="29"/>
      <c r="N53" s="28"/>
      <c r="O53" s="26"/>
      <c r="P53" s="28"/>
      <c r="Q53" s="26"/>
      <c r="R53" s="28"/>
      <c r="S53" s="26"/>
      <c r="T53" s="28"/>
      <c r="U53" s="26"/>
      <c r="V53" s="26"/>
      <c r="W53" s="41"/>
    </row>
    <row r="54" spans="3:23" x14ac:dyDescent="0.25">
      <c r="C54" s="40"/>
      <c r="D54" s="28"/>
      <c r="E54" s="28"/>
      <c r="F54" s="28"/>
      <c r="G54" s="26"/>
      <c r="H54" s="28"/>
      <c r="I54" s="29"/>
      <c r="J54" s="28"/>
      <c r="K54" s="29"/>
      <c r="L54" s="28"/>
      <c r="M54" s="29"/>
      <c r="N54" s="28"/>
      <c r="O54" s="26"/>
      <c r="P54" s="28"/>
      <c r="Q54" s="26"/>
      <c r="R54" s="28"/>
      <c r="S54" s="26"/>
      <c r="T54" s="28"/>
      <c r="U54" s="26"/>
      <c r="V54" s="26"/>
      <c r="W54" s="41"/>
    </row>
    <row r="55" spans="3:23" x14ac:dyDescent="0.25">
      <c r="C55" s="40"/>
      <c r="D55" s="28"/>
      <c r="E55" s="28"/>
      <c r="F55" s="28"/>
      <c r="G55" s="26"/>
      <c r="H55" s="28"/>
      <c r="I55" s="29"/>
      <c r="J55" s="28"/>
      <c r="K55" s="29"/>
      <c r="L55" s="28"/>
      <c r="M55" s="29"/>
      <c r="N55" s="28"/>
      <c r="O55" s="26"/>
      <c r="P55" s="28"/>
      <c r="Q55" s="26"/>
      <c r="R55" s="28"/>
      <c r="S55" s="26"/>
      <c r="T55" s="28"/>
      <c r="U55" s="26"/>
      <c r="V55" s="26"/>
      <c r="W55" s="41"/>
    </row>
    <row r="56" spans="3:23" x14ac:dyDescent="0.25">
      <c r="C56" s="40"/>
      <c r="D56" s="28"/>
      <c r="E56" s="28"/>
      <c r="F56" s="28"/>
      <c r="G56" s="26"/>
      <c r="H56" s="28"/>
      <c r="I56" s="29"/>
      <c r="J56" s="28"/>
      <c r="K56" s="29"/>
      <c r="L56" s="28"/>
      <c r="M56" s="29"/>
      <c r="N56" s="28"/>
      <c r="O56" s="26"/>
      <c r="P56" s="28"/>
      <c r="Q56" s="26"/>
      <c r="R56" s="28"/>
      <c r="S56" s="26"/>
      <c r="T56" s="28"/>
      <c r="U56" s="26"/>
      <c r="V56" s="26"/>
      <c r="W56" s="41"/>
    </row>
    <row r="57" spans="3:23" x14ac:dyDescent="0.25">
      <c r="C57" s="45"/>
      <c r="D57" s="32"/>
      <c r="E57" s="32"/>
      <c r="F57" s="32"/>
      <c r="G57" s="26"/>
      <c r="H57" s="32"/>
      <c r="I57" s="26"/>
      <c r="J57" s="32"/>
      <c r="K57" s="26"/>
      <c r="L57" s="32"/>
      <c r="M57" s="29"/>
      <c r="N57" s="32"/>
      <c r="O57" s="26"/>
      <c r="P57" s="32"/>
      <c r="Q57" s="26"/>
      <c r="R57" s="32"/>
      <c r="S57" s="26"/>
      <c r="T57" s="32"/>
      <c r="U57" s="26"/>
      <c r="V57" s="26"/>
      <c r="W57" s="41"/>
    </row>
    <row r="58" spans="3:23" ht="15.75" x14ac:dyDescent="0.25">
      <c r="C58" s="29"/>
      <c r="D58" s="32"/>
      <c r="E58" s="32"/>
      <c r="F58" s="32"/>
      <c r="G58" s="27"/>
      <c r="H58" s="32"/>
      <c r="I58" s="29"/>
      <c r="J58" s="32"/>
      <c r="K58" s="331"/>
      <c r="L58" s="331"/>
      <c r="M58" s="331"/>
      <c r="N58" s="246"/>
      <c r="O58" s="26"/>
      <c r="P58" s="246"/>
      <c r="Q58" s="26"/>
      <c r="R58" s="246"/>
      <c r="S58" s="26"/>
      <c r="T58" s="246"/>
      <c r="U58" s="26"/>
      <c r="V58" s="34"/>
      <c r="W58" s="41"/>
    </row>
    <row r="59" spans="3:23" ht="15.75" x14ac:dyDescent="0.25">
      <c r="C59" s="58"/>
      <c r="D59" s="40"/>
      <c r="E59" s="40"/>
      <c r="F59" s="40"/>
      <c r="G59" s="27"/>
      <c r="H59" s="40"/>
      <c r="I59" s="26"/>
      <c r="J59" s="40"/>
      <c r="K59" s="37"/>
      <c r="L59" s="40"/>
      <c r="M59" s="46"/>
      <c r="N59" s="40"/>
      <c r="O59" s="29"/>
      <c r="P59" s="40"/>
      <c r="Q59" s="29"/>
      <c r="R59" s="40"/>
      <c r="S59" s="29"/>
      <c r="T59" s="40"/>
      <c r="U59" s="29"/>
      <c r="V59" s="37"/>
      <c r="W59" s="41"/>
    </row>
    <row r="60" spans="3:23" ht="23.25" x14ac:dyDescent="0.25">
      <c r="C60" s="59"/>
      <c r="D60" s="61"/>
      <c r="E60" s="61"/>
      <c r="F60" s="61"/>
      <c r="G60" s="29"/>
      <c r="H60" s="61"/>
      <c r="I60" s="26"/>
      <c r="J60" s="61"/>
      <c r="K60" s="47"/>
      <c r="L60" s="61"/>
      <c r="M60" s="44"/>
      <c r="N60" s="61"/>
      <c r="O60" s="26"/>
      <c r="P60" s="61"/>
      <c r="Q60" s="26"/>
      <c r="R60" s="61"/>
      <c r="S60" s="26"/>
      <c r="T60" s="61"/>
      <c r="U60" s="26"/>
      <c r="V60" s="40"/>
      <c r="W60" s="41"/>
    </row>
    <row r="61" spans="3:23" ht="17.45" customHeight="1" x14ac:dyDescent="0.25">
      <c r="C61" s="57"/>
      <c r="D61" s="33"/>
      <c r="E61" s="33"/>
      <c r="F61" s="33"/>
      <c r="G61" s="29"/>
      <c r="H61" s="33"/>
      <c r="I61" s="29"/>
      <c r="J61" s="33"/>
      <c r="K61" s="331"/>
      <c r="L61" s="331"/>
      <c r="M61" s="331"/>
      <c r="N61" s="246"/>
      <c r="O61" s="29"/>
      <c r="P61" s="246"/>
      <c r="Q61" s="29"/>
      <c r="R61" s="246"/>
      <c r="S61" s="29"/>
      <c r="T61" s="246"/>
      <c r="U61" s="29"/>
      <c r="V61" s="36"/>
      <c r="W61" s="41"/>
    </row>
    <row r="62" spans="3:23" x14ac:dyDescent="0.25">
      <c r="C62" s="60"/>
      <c r="D62" s="29"/>
      <c r="E62" s="29"/>
      <c r="F62" s="29"/>
      <c r="G62" s="29"/>
      <c r="H62" s="29"/>
      <c r="I62" s="29"/>
      <c r="J62" s="29"/>
      <c r="K62" s="334"/>
      <c r="L62" s="334"/>
      <c r="M62" s="334"/>
      <c r="N62" s="249"/>
      <c r="O62" s="29"/>
      <c r="P62" s="249"/>
      <c r="Q62" s="29"/>
      <c r="R62" s="249"/>
      <c r="S62" s="29"/>
      <c r="T62" s="249"/>
      <c r="U62" s="29"/>
      <c r="V62" s="47"/>
      <c r="W62" s="41"/>
    </row>
    <row r="63" spans="3:23" x14ac:dyDescent="0.25">
      <c r="C63" s="56"/>
      <c r="G63" s="29"/>
      <c r="I63" s="29"/>
      <c r="K63" s="29"/>
      <c r="M63" s="29"/>
      <c r="O63" s="29"/>
      <c r="Q63" s="29"/>
      <c r="S63" s="29"/>
      <c r="U63" s="29"/>
      <c r="V63" s="29"/>
      <c r="W63" s="41"/>
    </row>
    <row r="64" spans="3:23" x14ac:dyDescent="0.25">
      <c r="C64" s="60"/>
      <c r="D64" s="29"/>
      <c r="E64" s="29"/>
      <c r="F64" s="29"/>
      <c r="H64" s="29"/>
      <c r="J64" s="29"/>
      <c r="L64" s="29"/>
      <c r="N64" s="29"/>
      <c r="P64" s="29"/>
      <c r="R64" s="29"/>
      <c r="T64" s="29"/>
      <c r="W64" s="41"/>
    </row>
    <row r="65" spans="3:23" x14ac:dyDescent="0.25">
      <c r="C65" s="41"/>
      <c r="D65" s="41"/>
      <c r="E65" s="41"/>
      <c r="F65" s="41"/>
      <c r="G65" s="41"/>
      <c r="H65" s="41"/>
      <c r="I65" s="41"/>
      <c r="J65" s="41"/>
      <c r="K65" s="41"/>
      <c r="L65" s="41"/>
      <c r="M65" s="41"/>
      <c r="N65" s="41"/>
      <c r="O65" s="41"/>
      <c r="P65" s="41"/>
      <c r="Q65" s="41"/>
      <c r="R65" s="41"/>
      <c r="S65" s="41"/>
      <c r="T65" s="41"/>
      <c r="U65" s="41"/>
      <c r="V65" s="41"/>
      <c r="W65" s="41"/>
    </row>
    <row r="66" spans="3:23" x14ac:dyDescent="0.25">
      <c r="C66" s="43"/>
      <c r="D66" s="43"/>
      <c r="E66" s="43"/>
      <c r="F66" s="43"/>
      <c r="G66" s="43"/>
      <c r="H66" s="43"/>
      <c r="I66" s="43"/>
      <c r="J66" s="43"/>
      <c r="K66" s="43"/>
      <c r="L66" s="43"/>
      <c r="M66" s="43"/>
      <c r="N66" s="43"/>
      <c r="O66" s="43"/>
      <c r="P66" s="43"/>
      <c r="Q66" s="43"/>
      <c r="R66" s="43"/>
      <c r="S66" s="43"/>
      <c r="T66" s="43"/>
      <c r="U66" s="43"/>
      <c r="V66" s="43"/>
      <c r="W66" s="41"/>
    </row>
    <row r="67" spans="3:23" ht="49.15" customHeight="1" x14ac:dyDescent="0.25">
      <c r="C67" s="341" t="str">
        <f>C37</f>
        <v xml:space="preserve">Ledelsesrapport for </v>
      </c>
      <c r="D67" s="341"/>
      <c r="E67" s="341"/>
      <c r="F67" s="341"/>
      <c r="G67" s="341"/>
      <c r="H67" s="341"/>
      <c r="I67" s="341"/>
      <c r="J67" s="341"/>
      <c r="K67" s="341"/>
      <c r="L67" s="341"/>
      <c r="M67" s="341"/>
      <c r="N67" s="341"/>
      <c r="O67" s="341"/>
      <c r="P67" s="341"/>
      <c r="Q67" s="341"/>
      <c r="R67" s="341"/>
      <c r="S67" s="341"/>
      <c r="T67" s="341"/>
      <c r="U67" s="341"/>
      <c r="V67" s="341"/>
      <c r="W67" s="41"/>
    </row>
    <row r="68" spans="3:23" x14ac:dyDescent="0.25">
      <c r="C68" s="42"/>
      <c r="D68" s="42"/>
      <c r="E68" s="42"/>
      <c r="F68" s="42"/>
      <c r="G68" s="42"/>
      <c r="H68" s="42"/>
      <c r="I68" s="42"/>
      <c r="J68" s="42"/>
      <c r="K68" s="42"/>
      <c r="L68" s="42"/>
      <c r="M68" s="42"/>
      <c r="N68" s="42"/>
      <c r="O68" s="42"/>
      <c r="P68" s="42"/>
      <c r="Q68" s="42"/>
      <c r="R68" s="42"/>
      <c r="S68" s="42"/>
      <c r="T68" s="42"/>
      <c r="U68" s="42"/>
      <c r="V68" s="42"/>
      <c r="W68" s="41"/>
    </row>
    <row r="69" spans="3:23" x14ac:dyDescent="0.25">
      <c r="C69" s="43"/>
      <c r="D69" s="43"/>
      <c r="E69" s="43"/>
      <c r="F69" s="43"/>
      <c r="G69" s="43"/>
      <c r="H69" s="43"/>
      <c r="I69" s="43"/>
      <c r="J69" s="43"/>
      <c r="K69" s="43"/>
      <c r="L69" s="43"/>
      <c r="M69" s="43"/>
      <c r="N69" s="43"/>
      <c r="O69" s="43"/>
      <c r="P69" s="43"/>
      <c r="Q69" s="43"/>
      <c r="R69" s="43"/>
      <c r="S69" s="43"/>
      <c r="T69" s="43"/>
      <c r="U69" s="43"/>
      <c r="V69" s="43"/>
      <c r="W69" s="41"/>
    </row>
    <row r="70" spans="3:23" ht="20.25" customHeight="1" x14ac:dyDescent="0.25">
      <c r="C70" s="229"/>
      <c r="E70" s="328" t="str">
        <f>S_InputArk!H7&amp;S_InputArk!I7</f>
        <v>3.Planlægning</v>
      </c>
      <c r="F70" s="328"/>
      <c r="G70" s="328"/>
      <c r="H70" s="328"/>
      <c r="I70" s="328"/>
      <c r="J70" s="243"/>
      <c r="K70" s="229"/>
      <c r="L70" s="243"/>
      <c r="M70" s="229"/>
      <c r="N70" s="243"/>
      <c r="O70" s="245"/>
      <c r="P70" s="243"/>
      <c r="Q70" s="328" t="str">
        <f>S_InputArk!H8&amp;S_InputArk!I8</f>
        <v>4.Support</v>
      </c>
      <c r="R70" s="328"/>
      <c r="S70" s="328"/>
      <c r="T70" s="328"/>
      <c r="U70" s="328"/>
      <c r="V70" s="229"/>
      <c r="W70" s="41"/>
    </row>
    <row r="71" spans="3:23" ht="15" customHeight="1" x14ac:dyDescent="0.25">
      <c r="C71" s="229"/>
      <c r="D71" s="245"/>
      <c r="E71" s="229"/>
      <c r="F71" s="245"/>
      <c r="G71" s="229"/>
      <c r="H71" s="245"/>
      <c r="I71" s="229"/>
      <c r="J71" s="245"/>
      <c r="K71" s="229"/>
      <c r="L71" s="245"/>
      <c r="M71" s="229"/>
      <c r="N71" s="245"/>
      <c r="O71" s="245"/>
      <c r="P71" s="245"/>
      <c r="Q71" s="229"/>
      <c r="R71" s="245"/>
      <c r="S71" s="229"/>
      <c r="T71" s="245"/>
      <c r="U71" s="229"/>
      <c r="V71" s="229"/>
      <c r="W71" s="41"/>
    </row>
    <row r="72" spans="3:23" x14ac:dyDescent="0.25">
      <c r="C72" s="26"/>
      <c r="D72" s="28"/>
      <c r="E72" s="28"/>
      <c r="F72" s="28"/>
      <c r="G72" s="26"/>
      <c r="H72" s="28"/>
      <c r="I72" s="29"/>
      <c r="J72" s="28"/>
      <c r="K72" s="29"/>
      <c r="L72" s="28"/>
      <c r="M72" s="26"/>
      <c r="N72" s="28"/>
      <c r="O72" s="26"/>
      <c r="P72" s="28"/>
      <c r="Q72" s="26"/>
      <c r="R72" s="28"/>
      <c r="S72" s="26"/>
      <c r="T72" s="28"/>
      <c r="U72" s="26"/>
      <c r="V72" s="26"/>
      <c r="W72" s="41"/>
    </row>
    <row r="73" spans="3:23" x14ac:dyDescent="0.25">
      <c r="C73" s="67"/>
      <c r="D73" s="248"/>
      <c r="E73" s="67"/>
      <c r="F73" s="248"/>
      <c r="G73" s="26"/>
      <c r="H73" s="248"/>
      <c r="I73" s="67"/>
      <c r="J73" s="248"/>
      <c r="K73" s="67"/>
      <c r="L73" s="248"/>
      <c r="M73" s="26"/>
      <c r="N73" s="248"/>
      <c r="O73" s="247"/>
      <c r="P73" s="248"/>
      <c r="Q73" s="222"/>
      <c r="R73" s="248"/>
      <c r="S73" s="222"/>
      <c r="T73" s="248"/>
      <c r="U73" s="222"/>
      <c r="V73" s="66"/>
      <c r="W73" s="41"/>
    </row>
    <row r="74" spans="3:23" x14ac:dyDescent="0.25">
      <c r="C74" s="67"/>
      <c r="D74" s="248"/>
      <c r="E74" s="67"/>
      <c r="F74" s="248"/>
      <c r="G74" s="26"/>
      <c r="H74" s="248"/>
      <c r="I74" s="67"/>
      <c r="J74" s="248"/>
      <c r="K74" s="67"/>
      <c r="L74" s="248"/>
      <c r="M74" s="29"/>
      <c r="N74" s="248"/>
      <c r="O74" s="247"/>
      <c r="P74" s="248"/>
      <c r="Q74" s="222"/>
      <c r="R74" s="248"/>
      <c r="S74" s="222"/>
      <c r="T74" s="248"/>
      <c r="U74" s="222"/>
      <c r="V74" s="66"/>
      <c r="W74" s="41"/>
    </row>
    <row r="75" spans="3:23" x14ac:dyDescent="0.25">
      <c r="C75" s="40"/>
      <c r="D75" s="28"/>
      <c r="E75" s="28"/>
      <c r="F75" s="28"/>
      <c r="G75" s="26"/>
      <c r="H75" s="28"/>
      <c r="I75" s="38"/>
      <c r="J75" s="28"/>
      <c r="K75" s="38"/>
      <c r="L75" s="28"/>
      <c r="M75" s="29"/>
      <c r="N75" s="28"/>
      <c r="O75" s="26"/>
      <c r="P75" s="28"/>
      <c r="Q75" s="26"/>
      <c r="R75" s="28"/>
      <c r="S75" s="26"/>
      <c r="T75" s="28"/>
      <c r="U75" s="26"/>
      <c r="V75" s="26"/>
      <c r="W75" s="41"/>
    </row>
    <row r="76" spans="3:23" x14ac:dyDescent="0.25">
      <c r="C76" s="29"/>
      <c r="D76" s="28"/>
      <c r="E76" s="28"/>
      <c r="F76" s="28"/>
      <c r="G76" s="26"/>
      <c r="H76" s="28"/>
      <c r="I76" s="29"/>
      <c r="J76" s="28"/>
      <c r="K76" s="29"/>
      <c r="L76" s="28"/>
      <c r="M76" s="29"/>
      <c r="N76" s="28"/>
      <c r="O76" s="26"/>
      <c r="P76" s="28"/>
      <c r="Q76" s="26"/>
      <c r="R76" s="28"/>
      <c r="S76" s="26"/>
      <c r="T76" s="28"/>
      <c r="U76" s="26"/>
      <c r="V76" s="26"/>
      <c r="W76" s="41"/>
    </row>
    <row r="77" spans="3:23" x14ac:dyDescent="0.25">
      <c r="C77" s="29"/>
      <c r="D77" s="28"/>
      <c r="E77" s="28"/>
      <c r="F77" s="28"/>
      <c r="G77" s="26"/>
      <c r="H77" s="28"/>
      <c r="I77" s="29"/>
      <c r="J77" s="28"/>
      <c r="K77" s="29"/>
      <c r="L77" s="28"/>
      <c r="M77" s="29"/>
      <c r="N77" s="28"/>
      <c r="O77" s="26"/>
      <c r="P77" s="28"/>
      <c r="Q77" s="26"/>
      <c r="R77" s="28"/>
      <c r="S77" s="26"/>
      <c r="T77" s="28"/>
      <c r="U77" s="26"/>
      <c r="V77" s="26"/>
      <c r="W77" s="41"/>
    </row>
    <row r="78" spans="3:23" x14ac:dyDescent="0.25">
      <c r="C78" s="40"/>
      <c r="D78" s="28"/>
      <c r="E78" s="28"/>
      <c r="F78" s="28"/>
      <c r="G78" s="26"/>
      <c r="H78" s="28"/>
      <c r="I78" s="29"/>
      <c r="J78" s="28"/>
      <c r="K78" s="29"/>
      <c r="L78" s="28"/>
      <c r="M78" s="29"/>
      <c r="N78" s="28"/>
      <c r="O78" s="26"/>
      <c r="P78" s="28"/>
      <c r="Q78" s="26"/>
      <c r="R78" s="28"/>
      <c r="S78" s="26"/>
      <c r="T78" s="28"/>
      <c r="U78" s="26"/>
      <c r="V78" s="26"/>
      <c r="W78" s="41"/>
    </row>
    <row r="79" spans="3:23" x14ac:dyDescent="0.25">
      <c r="C79" s="40"/>
      <c r="D79" s="28"/>
      <c r="E79" s="28"/>
      <c r="F79" s="28"/>
      <c r="G79" s="26"/>
      <c r="H79" s="28"/>
      <c r="I79" s="29"/>
      <c r="J79" s="28"/>
      <c r="K79" s="29"/>
      <c r="L79" s="28"/>
      <c r="M79" s="29"/>
      <c r="N79" s="28"/>
      <c r="O79" s="26"/>
      <c r="P79" s="28"/>
      <c r="Q79" s="26"/>
      <c r="R79" s="28"/>
      <c r="S79" s="26"/>
      <c r="T79" s="28"/>
      <c r="U79" s="26"/>
      <c r="V79" s="26"/>
      <c r="W79" s="41"/>
    </row>
    <row r="80" spans="3:23" x14ac:dyDescent="0.25">
      <c r="C80" s="40"/>
      <c r="D80" s="28"/>
      <c r="E80" s="28"/>
      <c r="F80" s="28"/>
      <c r="G80" s="26"/>
      <c r="H80" s="28"/>
      <c r="I80" s="29"/>
      <c r="J80" s="28"/>
      <c r="K80" s="29"/>
      <c r="L80" s="28"/>
      <c r="M80" s="29"/>
      <c r="N80" s="28"/>
      <c r="O80" s="26"/>
      <c r="P80" s="28"/>
      <c r="Q80" s="26"/>
      <c r="R80" s="28"/>
      <c r="S80" s="26"/>
      <c r="T80" s="28"/>
      <c r="U80" s="26"/>
      <c r="V80" s="26"/>
      <c r="W80" s="41"/>
    </row>
    <row r="81" spans="3:23" x14ac:dyDescent="0.25">
      <c r="C81" s="40"/>
      <c r="D81" s="28"/>
      <c r="E81" s="28"/>
      <c r="F81" s="28"/>
      <c r="G81" s="26"/>
      <c r="H81" s="28"/>
      <c r="I81" s="29"/>
      <c r="J81" s="28"/>
      <c r="K81" s="29"/>
      <c r="L81" s="28"/>
      <c r="M81" s="29"/>
      <c r="N81" s="28"/>
      <c r="O81" s="26"/>
      <c r="P81" s="28"/>
      <c r="Q81" s="26"/>
      <c r="R81" s="28"/>
      <c r="S81" s="26"/>
      <c r="T81" s="28"/>
      <c r="U81" s="26"/>
      <c r="V81" s="26"/>
      <c r="W81" s="41"/>
    </row>
    <row r="82" spans="3:23" x14ac:dyDescent="0.25">
      <c r="C82" s="29"/>
      <c r="D82" s="28"/>
      <c r="E82" s="28"/>
      <c r="F82" s="28"/>
      <c r="G82" s="26"/>
      <c r="H82" s="28"/>
      <c r="I82" s="29"/>
      <c r="J82" s="28"/>
      <c r="K82" s="29"/>
      <c r="L82" s="28"/>
      <c r="M82" s="29"/>
      <c r="N82" s="28"/>
      <c r="O82" s="26"/>
      <c r="P82" s="28"/>
      <c r="Q82" s="26"/>
      <c r="R82" s="28"/>
      <c r="S82" s="26"/>
      <c r="T82" s="28"/>
      <c r="U82" s="26"/>
      <c r="V82" s="26"/>
      <c r="W82" s="41"/>
    </row>
    <row r="83" spans="3:23" x14ac:dyDescent="0.25">
      <c r="C83" s="40"/>
      <c r="D83" s="28"/>
      <c r="E83" s="28"/>
      <c r="F83" s="28"/>
      <c r="G83" s="26"/>
      <c r="H83" s="28"/>
      <c r="I83" s="29"/>
      <c r="J83" s="28"/>
      <c r="K83" s="29"/>
      <c r="L83" s="28"/>
      <c r="M83" s="29"/>
      <c r="N83" s="28"/>
      <c r="O83" s="26"/>
      <c r="P83" s="28"/>
      <c r="Q83" s="26"/>
      <c r="R83" s="28"/>
      <c r="S83" s="26"/>
      <c r="T83" s="28"/>
      <c r="U83" s="26"/>
      <c r="V83" s="26"/>
      <c r="W83" s="41"/>
    </row>
    <row r="84" spans="3:23" x14ac:dyDescent="0.25">
      <c r="C84" s="40"/>
      <c r="D84" s="28"/>
      <c r="E84" s="28"/>
      <c r="F84" s="28"/>
      <c r="G84" s="26"/>
      <c r="H84" s="28"/>
      <c r="I84" s="29"/>
      <c r="J84" s="28"/>
      <c r="K84" s="29"/>
      <c r="L84" s="28"/>
      <c r="M84" s="29"/>
      <c r="N84" s="28"/>
      <c r="O84" s="26"/>
      <c r="P84" s="28"/>
      <c r="Q84" s="26"/>
      <c r="R84" s="28"/>
      <c r="S84" s="26"/>
      <c r="T84" s="28"/>
      <c r="U84" s="26"/>
      <c r="V84" s="26"/>
      <c r="W84" s="41"/>
    </row>
    <row r="85" spans="3:23" x14ac:dyDescent="0.25">
      <c r="C85" s="40"/>
      <c r="D85" s="28"/>
      <c r="E85" s="28"/>
      <c r="F85" s="28"/>
      <c r="G85" s="26"/>
      <c r="H85" s="28"/>
      <c r="I85" s="29"/>
      <c r="J85" s="28"/>
      <c r="K85" s="29"/>
      <c r="L85" s="28"/>
      <c r="M85" s="29"/>
      <c r="N85" s="28"/>
      <c r="O85" s="26"/>
      <c r="P85" s="28"/>
      <c r="Q85" s="26"/>
      <c r="R85" s="28"/>
      <c r="S85" s="26"/>
      <c r="T85" s="28"/>
      <c r="U85" s="26"/>
      <c r="V85" s="26"/>
      <c r="W85" s="41"/>
    </row>
    <row r="86" spans="3:23" x14ac:dyDescent="0.25">
      <c r="C86" s="40"/>
      <c r="D86" s="28"/>
      <c r="E86" s="28"/>
      <c r="F86" s="28"/>
      <c r="G86" s="26"/>
      <c r="H86" s="28"/>
      <c r="I86" s="29"/>
      <c r="J86" s="28"/>
      <c r="K86" s="29"/>
      <c r="L86" s="28"/>
      <c r="M86" s="29"/>
      <c r="N86" s="28"/>
      <c r="O86" s="26"/>
      <c r="P86" s="28"/>
      <c r="Q86" s="26"/>
      <c r="R86" s="28"/>
      <c r="S86" s="26"/>
      <c r="T86" s="28"/>
      <c r="U86" s="26"/>
      <c r="V86" s="26"/>
      <c r="W86" s="41"/>
    </row>
    <row r="87" spans="3:23" x14ac:dyDescent="0.25">
      <c r="C87" s="45"/>
      <c r="D87" s="32"/>
      <c r="E87" s="32"/>
      <c r="F87" s="32"/>
      <c r="G87" s="26"/>
      <c r="H87" s="32"/>
      <c r="I87" s="26"/>
      <c r="J87" s="32"/>
      <c r="K87" s="26"/>
      <c r="L87" s="32"/>
      <c r="M87" s="29"/>
      <c r="N87" s="32"/>
      <c r="O87" s="26"/>
      <c r="P87" s="32"/>
      <c r="Q87" s="26"/>
      <c r="R87" s="32"/>
      <c r="S87" s="26"/>
      <c r="T87" s="32"/>
      <c r="U87" s="26"/>
      <c r="V87" s="26"/>
      <c r="W87" s="41"/>
    </row>
    <row r="88" spans="3:23" ht="15.75" x14ac:dyDescent="0.25">
      <c r="C88" s="29"/>
      <c r="D88" s="32"/>
      <c r="E88" s="32"/>
      <c r="F88" s="32"/>
      <c r="G88" s="27"/>
      <c r="H88" s="32"/>
      <c r="I88" s="29"/>
      <c r="J88" s="32"/>
      <c r="K88" s="69"/>
      <c r="L88" s="32"/>
      <c r="M88" s="69"/>
      <c r="N88" s="32"/>
      <c r="O88" s="26"/>
      <c r="P88" s="32"/>
      <c r="Q88" s="26"/>
      <c r="R88" s="32"/>
      <c r="S88" s="26"/>
      <c r="T88" s="32"/>
      <c r="U88" s="26"/>
      <c r="V88" s="34"/>
      <c r="W88" s="41"/>
    </row>
    <row r="89" spans="3:23" ht="15.75" x14ac:dyDescent="0.25">
      <c r="C89" s="26"/>
      <c r="D89" s="35"/>
      <c r="E89" s="35"/>
      <c r="F89" s="35"/>
      <c r="G89" s="27"/>
      <c r="H89" s="35"/>
      <c r="I89" s="26"/>
      <c r="J89" s="35"/>
      <c r="K89" s="37"/>
      <c r="L89" s="35"/>
      <c r="M89" s="46"/>
      <c r="N89" s="35"/>
      <c r="O89" s="29"/>
      <c r="P89" s="35"/>
      <c r="Q89" s="29"/>
      <c r="R89" s="35"/>
      <c r="S89" s="29"/>
      <c r="T89" s="35"/>
      <c r="U89" s="29"/>
      <c r="V89" s="37"/>
      <c r="W89" s="41"/>
    </row>
    <row r="90" spans="3:23" x14ac:dyDescent="0.25">
      <c r="C90" s="26"/>
      <c r="D90" s="40"/>
      <c r="E90" s="40"/>
      <c r="F90" s="40"/>
      <c r="G90" s="29"/>
      <c r="H90" s="40"/>
      <c r="I90" s="26"/>
      <c r="J90" s="40"/>
      <c r="K90" s="47"/>
      <c r="L90" s="40"/>
      <c r="M90" s="44"/>
      <c r="N90" s="40"/>
      <c r="O90" s="29"/>
      <c r="P90" s="40"/>
      <c r="Q90" s="29"/>
      <c r="R90" s="40"/>
      <c r="S90" s="29"/>
      <c r="T90" s="40"/>
      <c r="U90" s="29"/>
      <c r="V90" s="40"/>
      <c r="W90" s="41"/>
    </row>
    <row r="91" spans="3:23" x14ac:dyDescent="0.25">
      <c r="C91" s="29"/>
      <c r="D91" s="32"/>
      <c r="E91" s="32"/>
      <c r="F91" s="32"/>
      <c r="G91" s="29"/>
      <c r="H91" s="32"/>
      <c r="I91" s="29"/>
      <c r="J91" s="32"/>
      <c r="K91" s="69"/>
      <c r="L91" s="32"/>
      <c r="M91" s="69"/>
      <c r="N91" s="32"/>
      <c r="O91" s="44"/>
      <c r="P91" s="32"/>
      <c r="Q91" s="44"/>
      <c r="R91" s="32"/>
      <c r="S91" s="44"/>
      <c r="T91" s="32"/>
      <c r="U91" s="44"/>
      <c r="V91" s="36"/>
      <c r="W91" s="41"/>
    </row>
    <row r="92" spans="3:23" x14ac:dyDescent="0.25">
      <c r="C92" s="29"/>
      <c r="D92" s="33"/>
      <c r="E92" s="33"/>
      <c r="F92" s="33"/>
      <c r="G92" s="29"/>
      <c r="H92" s="33"/>
      <c r="I92" s="29"/>
      <c r="J92" s="33"/>
      <c r="K92" s="68"/>
      <c r="L92" s="33"/>
      <c r="M92" s="68"/>
      <c r="N92" s="33"/>
      <c r="O92" s="29"/>
      <c r="P92" s="33"/>
      <c r="Q92" s="29"/>
      <c r="R92" s="33"/>
      <c r="S92" s="29"/>
      <c r="T92" s="33"/>
      <c r="U92" s="29"/>
      <c r="V92" s="47"/>
      <c r="W92" s="41"/>
    </row>
    <row r="93" spans="3:23" x14ac:dyDescent="0.25">
      <c r="C93" s="29"/>
      <c r="D93" s="29"/>
      <c r="E93" s="29"/>
      <c r="F93" s="29"/>
      <c r="G93" s="29"/>
      <c r="H93" s="29"/>
      <c r="I93" s="29"/>
      <c r="J93" s="29"/>
      <c r="K93" s="29"/>
      <c r="L93" s="29"/>
      <c r="M93" s="29"/>
      <c r="N93" s="29"/>
      <c r="O93" s="29"/>
      <c r="P93" s="29"/>
      <c r="Q93" s="29"/>
      <c r="R93" s="29"/>
      <c r="S93" s="29"/>
      <c r="T93" s="29"/>
      <c r="U93" s="29"/>
      <c r="V93" s="29"/>
      <c r="W93" s="41"/>
    </row>
    <row r="94" spans="3:23" x14ac:dyDescent="0.25">
      <c r="W94" s="41"/>
    </row>
    <row r="95" spans="3:23" x14ac:dyDescent="0.25">
      <c r="C95" s="41"/>
      <c r="D95" s="41"/>
      <c r="E95" s="41"/>
      <c r="F95" s="41"/>
      <c r="G95" s="41"/>
      <c r="H95" s="41"/>
      <c r="I95" s="41"/>
      <c r="J95" s="41"/>
      <c r="K95" s="41"/>
      <c r="L95" s="41"/>
      <c r="M95" s="41"/>
      <c r="N95" s="41"/>
      <c r="O95" s="41"/>
      <c r="P95" s="41"/>
      <c r="Q95" s="41"/>
      <c r="R95" s="41"/>
      <c r="S95" s="41"/>
      <c r="T95" s="41"/>
      <c r="U95" s="41"/>
      <c r="V95" s="41"/>
      <c r="W95" s="41"/>
    </row>
    <row r="96" spans="3:23" x14ac:dyDescent="0.25">
      <c r="C96" s="43"/>
      <c r="D96" s="43"/>
      <c r="E96" s="43"/>
      <c r="F96" s="43"/>
      <c r="G96" s="43"/>
      <c r="H96" s="43"/>
      <c r="I96" s="43"/>
      <c r="J96" s="43"/>
      <c r="K96" s="43"/>
      <c r="L96" s="43"/>
      <c r="M96" s="43"/>
      <c r="N96" s="43"/>
      <c r="O96" s="43"/>
      <c r="P96" s="43"/>
      <c r="Q96" s="43"/>
      <c r="R96" s="43"/>
      <c r="S96" s="43"/>
      <c r="T96" s="43"/>
      <c r="U96" s="43"/>
      <c r="V96" s="43"/>
      <c r="W96" s="41"/>
    </row>
    <row r="97" spans="3:23" ht="49.15" customHeight="1" x14ac:dyDescent="0.25">
      <c r="C97" s="341" t="str">
        <f>C67</f>
        <v xml:space="preserve">Ledelsesrapport for </v>
      </c>
      <c r="D97" s="341"/>
      <c r="E97" s="341"/>
      <c r="F97" s="341"/>
      <c r="G97" s="341"/>
      <c r="H97" s="341"/>
      <c r="I97" s="341"/>
      <c r="J97" s="341"/>
      <c r="K97" s="341"/>
      <c r="L97" s="341"/>
      <c r="M97" s="341"/>
      <c r="N97" s="341"/>
      <c r="O97" s="341"/>
      <c r="P97" s="341"/>
      <c r="Q97" s="341"/>
      <c r="R97" s="341"/>
      <c r="S97" s="341"/>
      <c r="T97" s="341"/>
      <c r="U97" s="341"/>
      <c r="V97" s="341"/>
      <c r="W97" s="41"/>
    </row>
    <row r="98" spans="3:23" x14ac:dyDescent="0.25">
      <c r="C98" s="42"/>
      <c r="D98" s="42"/>
      <c r="E98" s="42"/>
      <c r="F98" s="42"/>
      <c r="G98" s="42"/>
      <c r="H98" s="42"/>
      <c r="I98" s="42"/>
      <c r="J98" s="42"/>
      <c r="K98" s="42"/>
      <c r="L98" s="42"/>
      <c r="M98" s="42"/>
      <c r="N98" s="42"/>
      <c r="O98" s="42"/>
      <c r="P98" s="42"/>
      <c r="Q98" s="42"/>
      <c r="R98" s="42"/>
      <c r="S98" s="42"/>
      <c r="T98" s="42"/>
      <c r="U98" s="42"/>
      <c r="V98" s="42"/>
      <c r="W98" s="41"/>
    </row>
    <row r="99" spans="3:23" x14ac:dyDescent="0.25">
      <c r="C99" s="43"/>
      <c r="D99" s="43"/>
      <c r="E99" s="43"/>
      <c r="F99" s="43"/>
      <c r="G99" s="43"/>
      <c r="H99" s="43"/>
      <c r="I99" s="43"/>
      <c r="J99" s="43"/>
      <c r="K99" s="43"/>
      <c r="L99" s="43"/>
      <c r="M99" s="43"/>
      <c r="N99" s="43"/>
      <c r="O99" s="43"/>
      <c r="P99" s="43"/>
      <c r="Q99" s="43"/>
      <c r="R99" s="43"/>
      <c r="S99" s="43"/>
      <c r="T99" s="43"/>
      <c r="U99" s="43"/>
      <c r="V99" s="43"/>
      <c r="W99" s="41"/>
    </row>
    <row r="100" spans="3:23" ht="21" customHeight="1" x14ac:dyDescent="0.25">
      <c r="C100" s="221"/>
      <c r="E100" s="328" t="str">
        <f>S_InputArk!H9&amp;S_InputArk!I9</f>
        <v xml:space="preserve">5.Drift </v>
      </c>
      <c r="F100" s="328"/>
      <c r="G100" s="328"/>
      <c r="H100" s="328"/>
      <c r="I100" s="328"/>
      <c r="J100" s="243"/>
      <c r="K100" s="221"/>
      <c r="L100" s="243"/>
      <c r="M100" s="221"/>
      <c r="N100" s="243"/>
      <c r="O100" s="221"/>
      <c r="P100" s="243"/>
      <c r="Q100" s="328" t="str">
        <f>S_InputArk!H10&amp;S_InputArk!I10</f>
        <v>6.Evaluering</v>
      </c>
      <c r="R100" s="328"/>
      <c r="S100" s="328"/>
      <c r="T100" s="328"/>
      <c r="U100" s="328"/>
      <c r="V100" s="221"/>
      <c r="W100" s="41"/>
    </row>
    <row r="101" spans="3:23" x14ac:dyDescent="0.25">
      <c r="C101" s="221"/>
      <c r="D101" s="221"/>
      <c r="E101" s="221"/>
      <c r="F101" s="221"/>
      <c r="G101" s="221"/>
      <c r="H101" s="221"/>
      <c r="I101" s="221"/>
      <c r="J101" s="221"/>
      <c r="K101" s="221"/>
      <c r="L101" s="221"/>
      <c r="M101" s="221"/>
      <c r="N101" s="221"/>
      <c r="O101" s="221"/>
      <c r="P101" s="221"/>
      <c r="Q101" s="221"/>
      <c r="R101" s="221"/>
      <c r="S101" s="221"/>
      <c r="T101" s="221"/>
      <c r="U101" s="221"/>
      <c r="V101" s="221"/>
      <c r="W101" s="41"/>
    </row>
    <row r="102" spans="3:23" x14ac:dyDescent="0.25">
      <c r="C102" s="26"/>
      <c r="D102" s="28"/>
      <c r="E102" s="28"/>
      <c r="F102" s="28"/>
      <c r="G102" s="26"/>
      <c r="H102" s="28"/>
      <c r="I102" s="29"/>
      <c r="J102" s="28"/>
      <c r="K102" s="29"/>
      <c r="L102" s="28"/>
      <c r="M102" s="26"/>
      <c r="N102" s="28"/>
      <c r="O102" s="26"/>
      <c r="P102" s="28"/>
      <c r="Q102" s="26"/>
      <c r="R102" s="28"/>
      <c r="S102" s="26"/>
      <c r="T102" s="28"/>
      <c r="U102" s="26"/>
      <c r="V102" s="26"/>
      <c r="W102" s="41"/>
    </row>
    <row r="103" spans="3:23" x14ac:dyDescent="0.25">
      <c r="C103" s="67"/>
      <c r="D103" s="248"/>
      <c r="E103" s="67"/>
      <c r="F103" s="248"/>
      <c r="G103" s="26"/>
      <c r="H103" s="248"/>
      <c r="I103" s="67"/>
      <c r="J103" s="248"/>
      <c r="K103" s="67"/>
      <c r="L103" s="248"/>
      <c r="M103" s="26"/>
      <c r="N103" s="248"/>
      <c r="O103" s="26"/>
      <c r="P103" s="248"/>
      <c r="Q103" s="26"/>
      <c r="R103" s="248"/>
      <c r="S103" s="26"/>
      <c r="T103" s="248"/>
      <c r="U103" s="26"/>
      <c r="V103" s="26"/>
      <c r="W103" s="41"/>
    </row>
    <row r="104" spans="3:23" x14ac:dyDescent="0.25">
      <c r="C104" s="67"/>
      <c r="D104" s="248"/>
      <c r="E104" s="67"/>
      <c r="F104" s="248"/>
      <c r="G104" s="26"/>
      <c r="H104" s="248"/>
      <c r="I104" s="67"/>
      <c r="J104" s="248"/>
      <c r="K104" s="67"/>
      <c r="L104" s="248"/>
      <c r="M104" s="29"/>
      <c r="N104" s="248"/>
      <c r="O104" s="26"/>
      <c r="P104" s="248"/>
      <c r="Q104" s="26"/>
      <c r="R104" s="248"/>
      <c r="S104" s="26"/>
      <c r="T104" s="248"/>
      <c r="U104" s="26"/>
      <c r="V104" s="26"/>
      <c r="W104" s="41"/>
    </row>
    <row r="105" spans="3:23" x14ac:dyDescent="0.25">
      <c r="C105" s="40"/>
      <c r="D105" s="28"/>
      <c r="E105" s="28"/>
      <c r="F105" s="28"/>
      <c r="G105" s="26"/>
      <c r="H105" s="28"/>
      <c r="I105" s="38"/>
      <c r="J105" s="28"/>
      <c r="K105" s="38"/>
      <c r="L105" s="28"/>
      <c r="M105" s="29"/>
      <c r="N105" s="28"/>
      <c r="O105" s="26"/>
      <c r="P105" s="28"/>
      <c r="Q105" s="26"/>
      <c r="R105" s="28"/>
      <c r="S105" s="26"/>
      <c r="T105" s="28"/>
      <c r="U105" s="26"/>
      <c r="V105" s="26"/>
      <c r="W105" s="41"/>
    </row>
    <row r="106" spans="3:23" x14ac:dyDescent="0.25">
      <c r="C106" s="29"/>
      <c r="D106" s="28"/>
      <c r="E106" s="28"/>
      <c r="F106" s="28"/>
      <c r="G106" s="26"/>
      <c r="H106" s="28"/>
      <c r="I106" s="29"/>
      <c r="J106" s="28"/>
      <c r="K106" s="29"/>
      <c r="L106" s="28"/>
      <c r="M106" s="29"/>
      <c r="N106" s="28"/>
      <c r="O106" s="26"/>
      <c r="P106" s="28"/>
      <c r="Q106" s="26"/>
      <c r="R106" s="28"/>
      <c r="S106" s="26"/>
      <c r="T106" s="28"/>
      <c r="U106" s="26"/>
      <c r="V106" s="26"/>
      <c r="W106" s="41"/>
    </row>
    <row r="107" spans="3:23" x14ac:dyDescent="0.25">
      <c r="C107" s="29"/>
      <c r="D107" s="28"/>
      <c r="E107" s="28"/>
      <c r="F107" s="28"/>
      <c r="G107" s="26"/>
      <c r="H107" s="28"/>
      <c r="I107" s="29"/>
      <c r="J107" s="28"/>
      <c r="K107" s="29"/>
      <c r="L107" s="28"/>
      <c r="M107" s="29"/>
      <c r="N107" s="28"/>
      <c r="O107" s="26"/>
      <c r="P107" s="28"/>
      <c r="Q107" s="26"/>
      <c r="R107" s="28"/>
      <c r="S107" s="26"/>
      <c r="T107" s="28"/>
      <c r="U107" s="26"/>
      <c r="V107" s="26"/>
      <c r="W107" s="41"/>
    </row>
    <row r="108" spans="3:23" x14ac:dyDescent="0.25">
      <c r="C108" s="40"/>
      <c r="D108" s="28"/>
      <c r="E108" s="28"/>
      <c r="F108" s="28"/>
      <c r="G108" s="26"/>
      <c r="H108" s="28"/>
      <c r="I108" s="29"/>
      <c r="J108" s="28"/>
      <c r="K108" s="29"/>
      <c r="L108" s="28"/>
      <c r="M108" s="29"/>
      <c r="N108" s="28"/>
      <c r="O108" s="26"/>
      <c r="P108" s="28"/>
      <c r="Q108" s="26"/>
      <c r="R108" s="28"/>
      <c r="S108" s="26"/>
      <c r="T108" s="28"/>
      <c r="U108" s="26"/>
      <c r="V108" s="26"/>
      <c r="W108" s="41"/>
    </row>
    <row r="109" spans="3:23" x14ac:dyDescent="0.25">
      <c r="C109" s="40"/>
      <c r="D109" s="28"/>
      <c r="E109" s="28"/>
      <c r="F109" s="28"/>
      <c r="G109" s="26"/>
      <c r="H109" s="28"/>
      <c r="I109" s="29"/>
      <c r="J109" s="28"/>
      <c r="K109" s="29"/>
      <c r="L109" s="28"/>
      <c r="M109" s="29"/>
      <c r="N109" s="28"/>
      <c r="O109" s="26"/>
      <c r="P109" s="28"/>
      <c r="Q109" s="26"/>
      <c r="R109" s="28"/>
      <c r="S109" s="26"/>
      <c r="T109" s="28"/>
      <c r="U109" s="26"/>
      <c r="V109" s="26"/>
      <c r="W109" s="41"/>
    </row>
    <row r="110" spans="3:23" x14ac:dyDescent="0.25">
      <c r="C110" s="40"/>
      <c r="D110" s="28"/>
      <c r="E110" s="28"/>
      <c r="F110" s="28"/>
      <c r="G110" s="26"/>
      <c r="H110" s="28"/>
      <c r="I110" s="29"/>
      <c r="J110" s="28"/>
      <c r="K110" s="29"/>
      <c r="L110" s="28"/>
      <c r="M110" s="29"/>
      <c r="N110" s="28"/>
      <c r="O110" s="26"/>
      <c r="P110" s="28"/>
      <c r="Q110" s="26"/>
      <c r="R110" s="28"/>
      <c r="S110" s="26"/>
      <c r="T110" s="28"/>
      <c r="U110" s="26"/>
      <c r="V110" s="26"/>
      <c r="W110" s="41"/>
    </row>
    <row r="111" spans="3:23" x14ac:dyDescent="0.25">
      <c r="C111" s="40"/>
      <c r="D111" s="28"/>
      <c r="E111" s="28"/>
      <c r="F111" s="28"/>
      <c r="G111" s="26"/>
      <c r="H111" s="28"/>
      <c r="I111" s="29"/>
      <c r="J111" s="28"/>
      <c r="K111" s="29"/>
      <c r="L111" s="28"/>
      <c r="M111" s="29"/>
      <c r="N111" s="28"/>
      <c r="O111" s="26"/>
      <c r="P111" s="28"/>
      <c r="Q111" s="26"/>
      <c r="R111" s="28"/>
      <c r="S111" s="26"/>
      <c r="T111" s="28"/>
      <c r="U111" s="26"/>
      <c r="V111" s="26"/>
      <c r="W111" s="41"/>
    </row>
    <row r="112" spans="3:23" x14ac:dyDescent="0.25">
      <c r="C112" s="29"/>
      <c r="D112" s="28"/>
      <c r="E112" s="28"/>
      <c r="F112" s="28"/>
      <c r="G112" s="26"/>
      <c r="H112" s="28"/>
      <c r="I112" s="29"/>
      <c r="J112" s="28"/>
      <c r="K112" s="29"/>
      <c r="L112" s="28"/>
      <c r="M112" s="29"/>
      <c r="N112" s="28"/>
      <c r="O112" s="26"/>
      <c r="P112" s="28"/>
      <c r="Q112" s="26"/>
      <c r="R112" s="28"/>
      <c r="S112" s="26"/>
      <c r="T112" s="28"/>
      <c r="U112" s="26"/>
      <c r="V112" s="26"/>
      <c r="W112" s="41"/>
    </row>
    <row r="113" spans="3:23" x14ac:dyDescent="0.25">
      <c r="C113" s="40"/>
      <c r="D113" s="28"/>
      <c r="E113" s="28"/>
      <c r="F113" s="28"/>
      <c r="G113" s="26"/>
      <c r="H113" s="28"/>
      <c r="I113" s="29"/>
      <c r="J113" s="28"/>
      <c r="K113" s="29"/>
      <c r="L113" s="28"/>
      <c r="M113" s="29"/>
      <c r="N113" s="28"/>
      <c r="O113" s="26"/>
      <c r="P113" s="28"/>
      <c r="Q113" s="26"/>
      <c r="R113" s="28"/>
      <c r="S113" s="26"/>
      <c r="T113" s="28"/>
      <c r="U113" s="26"/>
      <c r="V113" s="26"/>
      <c r="W113" s="41"/>
    </row>
    <row r="114" spans="3:23" x14ac:dyDescent="0.25">
      <c r="C114" s="40"/>
      <c r="D114" s="28"/>
      <c r="E114" s="28"/>
      <c r="F114" s="28"/>
      <c r="G114" s="26"/>
      <c r="H114" s="28"/>
      <c r="I114" s="29"/>
      <c r="J114" s="28"/>
      <c r="K114" s="29"/>
      <c r="L114" s="28"/>
      <c r="M114" s="29"/>
      <c r="N114" s="28"/>
      <c r="O114" s="26"/>
      <c r="P114" s="28"/>
      <c r="Q114" s="26"/>
      <c r="R114" s="28"/>
      <c r="S114" s="26"/>
      <c r="T114" s="28"/>
      <c r="U114" s="26"/>
      <c r="V114" s="26"/>
      <c r="W114" s="41"/>
    </row>
    <row r="115" spans="3:23" x14ac:dyDescent="0.25">
      <c r="C115" s="40"/>
      <c r="D115" s="28"/>
      <c r="E115" s="28"/>
      <c r="F115" s="28"/>
      <c r="G115" s="26"/>
      <c r="H115" s="28"/>
      <c r="I115" s="29"/>
      <c r="J115" s="28"/>
      <c r="K115" s="29"/>
      <c r="L115" s="28"/>
      <c r="M115" s="29"/>
      <c r="N115" s="28"/>
      <c r="O115" s="26"/>
      <c r="P115" s="28"/>
      <c r="Q115" s="26"/>
      <c r="R115" s="28"/>
      <c r="S115" s="26"/>
      <c r="T115" s="28"/>
      <c r="U115" s="26"/>
      <c r="V115" s="26"/>
      <c r="W115" s="41"/>
    </row>
    <row r="116" spans="3:23" x14ac:dyDescent="0.25">
      <c r="C116" s="40"/>
      <c r="D116" s="28"/>
      <c r="E116" s="28"/>
      <c r="F116" s="28"/>
      <c r="G116" s="26"/>
      <c r="H116" s="28"/>
      <c r="I116" s="29"/>
      <c r="J116" s="28"/>
      <c r="K116" s="29"/>
      <c r="L116" s="28"/>
      <c r="M116" s="29"/>
      <c r="N116" s="28"/>
      <c r="O116" s="26"/>
      <c r="P116" s="28"/>
      <c r="Q116" s="26"/>
      <c r="R116" s="28"/>
      <c r="S116" s="26"/>
      <c r="T116" s="28"/>
      <c r="U116" s="26"/>
      <c r="V116" s="26"/>
      <c r="W116" s="41"/>
    </row>
    <row r="117" spans="3:23" x14ac:dyDescent="0.25">
      <c r="C117" s="45"/>
      <c r="D117" s="32"/>
      <c r="E117" s="32"/>
      <c r="F117" s="32"/>
      <c r="G117" s="26"/>
      <c r="H117" s="32"/>
      <c r="I117" s="26"/>
      <c r="J117" s="32"/>
      <c r="K117" s="26"/>
      <c r="L117" s="32"/>
      <c r="M117" s="29"/>
      <c r="N117" s="32"/>
      <c r="O117" s="26"/>
      <c r="P117" s="32"/>
      <c r="Q117" s="26"/>
      <c r="R117" s="32"/>
      <c r="S117" s="26"/>
      <c r="T117" s="32"/>
      <c r="U117" s="26"/>
      <c r="V117" s="26"/>
      <c r="W117" s="41"/>
    </row>
    <row r="118" spans="3:23" ht="15.75" x14ac:dyDescent="0.25">
      <c r="C118" s="29"/>
      <c r="D118" s="32"/>
      <c r="E118" s="32"/>
      <c r="F118" s="32"/>
      <c r="G118" s="27"/>
      <c r="H118" s="32"/>
      <c r="I118" s="29"/>
      <c r="J118" s="32"/>
      <c r="K118" s="69"/>
      <c r="L118" s="32"/>
      <c r="M118" s="69"/>
      <c r="N118" s="32"/>
      <c r="O118" s="26"/>
      <c r="P118" s="32"/>
      <c r="Q118" s="26"/>
      <c r="R118" s="32"/>
      <c r="S118" s="26"/>
      <c r="T118" s="32"/>
      <c r="U118" s="26"/>
      <c r="V118" s="34"/>
      <c r="W118" s="41"/>
    </row>
    <row r="119" spans="3:23" ht="15.75" x14ac:dyDescent="0.25">
      <c r="C119" s="26"/>
      <c r="D119" s="35"/>
      <c r="E119" s="35"/>
      <c r="F119" s="35"/>
      <c r="G119" s="27"/>
      <c r="H119" s="35"/>
      <c r="I119" s="26"/>
      <c r="J119" s="35"/>
      <c r="K119" s="37"/>
      <c r="L119" s="35"/>
      <c r="M119" s="46"/>
      <c r="N119" s="35"/>
      <c r="O119" s="29"/>
      <c r="P119" s="35"/>
      <c r="Q119" s="29"/>
      <c r="R119" s="35"/>
      <c r="S119" s="29"/>
      <c r="T119" s="35"/>
      <c r="U119" s="29"/>
      <c r="V119" s="37"/>
      <c r="W119" s="41"/>
    </row>
    <row r="120" spans="3:23" x14ac:dyDescent="0.25">
      <c r="C120" s="26"/>
      <c r="D120" s="40"/>
      <c r="E120" s="40"/>
      <c r="F120" s="40"/>
      <c r="G120" s="29"/>
      <c r="H120" s="40"/>
      <c r="I120" s="26"/>
      <c r="J120" s="40"/>
      <c r="K120" s="47"/>
      <c r="L120" s="40"/>
      <c r="M120" s="44"/>
      <c r="N120" s="40"/>
      <c r="O120" s="29"/>
      <c r="P120" s="40"/>
      <c r="Q120" s="29"/>
      <c r="R120" s="40"/>
      <c r="S120" s="29"/>
      <c r="T120" s="40"/>
      <c r="U120" s="29"/>
      <c r="V120" s="40"/>
      <c r="W120" s="41"/>
    </row>
    <row r="121" spans="3:23" x14ac:dyDescent="0.25">
      <c r="C121" s="29"/>
      <c r="D121" s="32"/>
      <c r="E121" s="32"/>
      <c r="F121" s="32"/>
      <c r="G121" s="29"/>
      <c r="H121" s="32"/>
      <c r="I121" s="29"/>
      <c r="J121" s="32"/>
      <c r="K121" s="69"/>
      <c r="L121" s="32"/>
      <c r="M121" s="69"/>
      <c r="N121" s="32"/>
      <c r="O121" s="44"/>
      <c r="P121" s="32"/>
      <c r="Q121" s="44"/>
      <c r="R121" s="32"/>
      <c r="S121" s="44"/>
      <c r="T121" s="32"/>
      <c r="U121" s="44"/>
      <c r="V121" s="36"/>
      <c r="W121" s="41"/>
    </row>
    <row r="122" spans="3:23" x14ac:dyDescent="0.25">
      <c r="C122" s="29"/>
      <c r="D122" s="33"/>
      <c r="E122" s="33"/>
      <c r="F122" s="33"/>
      <c r="G122" s="29"/>
      <c r="H122" s="33"/>
      <c r="I122" s="29"/>
      <c r="J122" s="33"/>
      <c r="K122" s="68"/>
      <c r="L122" s="33"/>
      <c r="M122" s="68"/>
      <c r="N122" s="33"/>
      <c r="O122" s="29"/>
      <c r="P122" s="33"/>
      <c r="Q122" s="29"/>
      <c r="R122" s="33"/>
      <c r="S122" s="29"/>
      <c r="T122" s="33"/>
      <c r="U122" s="29"/>
      <c r="V122" s="47"/>
      <c r="W122" s="41"/>
    </row>
    <row r="123" spans="3:23" x14ac:dyDescent="0.25">
      <c r="C123" s="29"/>
      <c r="D123" s="29"/>
      <c r="E123" s="29"/>
      <c r="F123" s="29"/>
      <c r="G123" s="29"/>
      <c r="H123" s="29"/>
      <c r="I123" s="29"/>
      <c r="J123" s="29"/>
      <c r="K123" s="29"/>
      <c r="L123" s="29"/>
      <c r="M123" s="29"/>
      <c r="N123" s="29"/>
      <c r="O123" s="29"/>
      <c r="P123" s="29"/>
      <c r="Q123" s="29"/>
      <c r="R123" s="29"/>
      <c r="S123" s="29"/>
      <c r="T123" s="29"/>
      <c r="U123" s="29"/>
      <c r="V123" s="29"/>
      <c r="W123" s="41"/>
    </row>
    <row r="124" spans="3:23" x14ac:dyDescent="0.25">
      <c r="W124" s="41"/>
    </row>
    <row r="125" spans="3:23" x14ac:dyDescent="0.25">
      <c r="C125" s="41"/>
      <c r="D125" s="41"/>
      <c r="E125" s="41"/>
      <c r="F125" s="41"/>
      <c r="G125" s="41"/>
      <c r="H125" s="41"/>
      <c r="I125" s="41"/>
      <c r="J125" s="41"/>
      <c r="K125" s="41"/>
      <c r="L125" s="41"/>
      <c r="M125" s="41"/>
      <c r="N125" s="41"/>
      <c r="O125" s="41"/>
      <c r="P125" s="41"/>
      <c r="Q125" s="41"/>
      <c r="R125" s="41"/>
      <c r="S125" s="41"/>
      <c r="T125" s="41"/>
      <c r="U125" s="41"/>
      <c r="V125" s="41"/>
      <c r="W125" s="41"/>
    </row>
    <row r="126" spans="3:23" x14ac:dyDescent="0.25">
      <c r="C126" s="43"/>
      <c r="D126" s="43"/>
      <c r="E126" s="43"/>
      <c r="F126" s="43"/>
      <c r="G126" s="43"/>
      <c r="H126" s="43"/>
      <c r="I126" s="43"/>
      <c r="J126" s="43"/>
      <c r="K126" s="43"/>
      <c r="L126" s="43"/>
      <c r="M126" s="43"/>
      <c r="N126" s="43"/>
      <c r="O126" s="43"/>
      <c r="P126" s="43"/>
      <c r="Q126" s="43"/>
      <c r="R126" s="43"/>
      <c r="S126" s="43"/>
      <c r="T126" s="43"/>
      <c r="U126" s="43"/>
      <c r="V126" s="43"/>
      <c r="W126" s="41"/>
    </row>
    <row r="127" spans="3:23" ht="49.15" customHeight="1" x14ac:dyDescent="0.25">
      <c r="C127" s="341" t="str">
        <f>C97</f>
        <v xml:space="preserve">Ledelsesrapport for </v>
      </c>
      <c r="D127" s="341"/>
      <c r="E127" s="341"/>
      <c r="F127" s="341"/>
      <c r="G127" s="341"/>
      <c r="H127" s="341"/>
      <c r="I127" s="341"/>
      <c r="J127" s="341"/>
      <c r="K127" s="341"/>
      <c r="L127" s="341"/>
      <c r="M127" s="341"/>
      <c r="N127" s="341"/>
      <c r="O127" s="341"/>
      <c r="P127" s="341"/>
      <c r="Q127" s="341"/>
      <c r="R127" s="341"/>
      <c r="S127" s="341"/>
      <c r="T127" s="341"/>
      <c r="U127" s="341"/>
      <c r="V127" s="341"/>
      <c r="W127" s="41"/>
    </row>
    <row r="128" spans="3:23" x14ac:dyDescent="0.25">
      <c r="C128" s="42"/>
      <c r="D128" s="42"/>
      <c r="E128" s="42"/>
      <c r="F128" s="42"/>
      <c r="G128" s="42"/>
      <c r="H128" s="42"/>
      <c r="I128" s="42"/>
      <c r="J128" s="42"/>
      <c r="K128" s="42"/>
      <c r="L128" s="42"/>
      <c r="M128" s="42"/>
      <c r="N128" s="42"/>
      <c r="O128" s="42"/>
      <c r="P128" s="42"/>
      <c r="Q128" s="42"/>
      <c r="R128" s="42"/>
      <c r="S128" s="42"/>
      <c r="T128" s="42"/>
      <c r="U128" s="42"/>
      <c r="V128" s="42"/>
      <c r="W128" s="41"/>
    </row>
    <row r="129" spans="3:23" x14ac:dyDescent="0.25">
      <c r="C129" s="43"/>
      <c r="D129" s="43"/>
      <c r="E129" s="43"/>
      <c r="F129" s="43"/>
      <c r="G129" s="43"/>
      <c r="H129" s="43"/>
      <c r="I129" s="43"/>
      <c r="J129" s="43"/>
      <c r="K129" s="43"/>
      <c r="L129" s="43"/>
      <c r="M129" s="43"/>
      <c r="N129" s="43"/>
      <c r="O129" s="43"/>
      <c r="P129" s="43"/>
      <c r="Q129" s="43"/>
      <c r="R129" s="43"/>
      <c r="S129" s="43"/>
      <c r="T129" s="43"/>
      <c r="U129" s="43"/>
      <c r="V129" s="43"/>
      <c r="W129" s="41"/>
    </row>
    <row r="130" spans="3:23" ht="21.75" customHeight="1" x14ac:dyDescent="0.25">
      <c r="C130" s="221"/>
      <c r="E130" s="328" t="str">
        <f>S_InputArk!H11&amp;S_InputArk!I11</f>
        <v>7.Løbende forbedringer</v>
      </c>
      <c r="F130" s="328"/>
      <c r="G130" s="328"/>
      <c r="H130" s="328"/>
      <c r="I130" s="328"/>
      <c r="J130" s="243"/>
      <c r="K130" s="221"/>
      <c r="L130" s="243"/>
      <c r="M130" s="221"/>
      <c r="N130" s="243"/>
      <c r="O130" s="221"/>
      <c r="P130" s="243"/>
      <c r="Q130" s="328" t="str">
        <f>IF(S_InputArk!I12&lt;&gt;"Ikke angivet",S_InputArk!H12&amp;S_InputArk!I12,"")</f>
        <v>8.Leverandørstyring</v>
      </c>
      <c r="R130" s="328"/>
      <c r="S130" s="328"/>
      <c r="T130" s="328"/>
      <c r="U130" s="328"/>
      <c r="V130" s="221"/>
      <c r="W130" s="41"/>
    </row>
    <row r="131" spans="3:23" x14ac:dyDescent="0.25">
      <c r="C131" s="221"/>
      <c r="D131" s="221"/>
      <c r="E131" s="221"/>
      <c r="F131" s="221"/>
      <c r="G131" s="221"/>
      <c r="H131" s="221"/>
      <c r="I131" s="221"/>
      <c r="J131" s="221"/>
      <c r="K131" s="221"/>
      <c r="L131" s="221"/>
      <c r="M131" s="221"/>
      <c r="N131" s="221"/>
      <c r="O131" s="221"/>
      <c r="P131" s="221"/>
      <c r="Q131" s="221"/>
      <c r="R131" s="221"/>
      <c r="S131" s="221"/>
      <c r="T131" s="221"/>
      <c r="U131" s="221"/>
      <c r="V131" s="221"/>
      <c r="W131" s="41"/>
    </row>
    <row r="132" spans="3:23" x14ac:dyDescent="0.25">
      <c r="C132" s="26"/>
      <c r="D132" s="28"/>
      <c r="E132" s="28"/>
      <c r="F132" s="28"/>
      <c r="G132" s="26"/>
      <c r="H132" s="28"/>
      <c r="I132" s="29"/>
      <c r="J132" s="28"/>
      <c r="K132" s="29"/>
      <c r="L132" s="28"/>
      <c r="M132" s="26"/>
      <c r="N132" s="28"/>
      <c r="O132" s="26"/>
      <c r="P132" s="28"/>
      <c r="Q132" s="26"/>
      <c r="R132" s="28"/>
      <c r="S132" s="26"/>
      <c r="T132" s="28"/>
      <c r="U132" s="26"/>
      <c r="V132" s="26"/>
      <c r="W132" s="41"/>
    </row>
    <row r="133" spans="3:23" x14ac:dyDescent="0.25">
      <c r="C133" s="26"/>
      <c r="D133" s="28"/>
      <c r="E133" s="28"/>
      <c r="F133" s="28"/>
      <c r="G133" s="26"/>
      <c r="H133" s="28"/>
      <c r="I133" s="26"/>
      <c r="J133" s="28"/>
      <c r="K133" s="26"/>
      <c r="L133" s="28"/>
      <c r="M133" s="26"/>
      <c r="N133" s="28"/>
      <c r="O133" s="26"/>
      <c r="P133" s="28"/>
      <c r="Q133" s="26"/>
      <c r="R133" s="28"/>
      <c r="S133" s="26"/>
      <c r="T133" s="28"/>
      <c r="U133" s="26"/>
      <c r="V133" s="26"/>
      <c r="W133" s="41"/>
    </row>
    <row r="134" spans="3:23" x14ac:dyDescent="0.25">
      <c r="C134" s="26"/>
      <c r="D134" s="28"/>
      <c r="E134" s="28"/>
      <c r="F134" s="28"/>
      <c r="G134" s="26"/>
      <c r="H134" s="28"/>
      <c r="I134" s="29"/>
      <c r="J134" s="28"/>
      <c r="K134" s="29"/>
      <c r="L134" s="28"/>
      <c r="M134" s="29"/>
      <c r="N134" s="28"/>
      <c r="O134" s="26"/>
      <c r="P134" s="28"/>
      <c r="Q134" s="26"/>
      <c r="R134" s="28"/>
      <c r="S134" s="26"/>
      <c r="T134" s="28"/>
      <c r="U134" s="26"/>
      <c r="V134" s="26"/>
      <c r="W134" s="41"/>
    </row>
    <row r="135" spans="3:23" x14ac:dyDescent="0.25">
      <c r="C135" s="40"/>
      <c r="D135" s="28"/>
      <c r="E135" s="28"/>
      <c r="F135" s="28"/>
      <c r="G135" s="26"/>
      <c r="H135" s="28"/>
      <c r="I135" s="38"/>
      <c r="J135" s="28"/>
      <c r="K135" s="38"/>
      <c r="L135" s="28"/>
      <c r="M135" s="29"/>
      <c r="N135" s="28"/>
      <c r="O135" s="26"/>
      <c r="P135" s="28"/>
      <c r="Q135" s="26"/>
      <c r="R135" s="28"/>
      <c r="S135" s="26"/>
      <c r="T135" s="28"/>
      <c r="U135" s="26"/>
      <c r="V135" s="26"/>
      <c r="W135" s="41"/>
    </row>
    <row r="136" spans="3:23" x14ac:dyDescent="0.25">
      <c r="C136" s="29"/>
      <c r="D136" s="28"/>
      <c r="E136" s="28"/>
      <c r="F136" s="28"/>
      <c r="G136" s="26"/>
      <c r="H136" s="28"/>
      <c r="I136" s="29"/>
      <c r="J136" s="28"/>
      <c r="K136" s="29"/>
      <c r="L136" s="28"/>
      <c r="M136" s="29"/>
      <c r="N136" s="28"/>
      <c r="O136" s="26"/>
      <c r="P136" s="28"/>
      <c r="Q136" s="26"/>
      <c r="R136" s="28"/>
      <c r="S136" s="26"/>
      <c r="T136" s="28"/>
      <c r="U136" s="26"/>
      <c r="V136" s="26"/>
      <c r="W136" s="41"/>
    </row>
    <row r="137" spans="3:23" x14ac:dyDescent="0.25">
      <c r="C137" s="29"/>
      <c r="D137" s="28"/>
      <c r="E137" s="28"/>
      <c r="F137" s="28"/>
      <c r="G137" s="26"/>
      <c r="H137" s="28"/>
      <c r="I137" s="29"/>
      <c r="J137" s="28"/>
      <c r="K137" s="29"/>
      <c r="L137" s="28"/>
      <c r="M137" s="29"/>
      <c r="N137" s="28"/>
      <c r="O137" s="26"/>
      <c r="P137" s="28"/>
      <c r="Q137" s="26"/>
      <c r="R137" s="28"/>
      <c r="S137" s="26"/>
      <c r="T137" s="28"/>
      <c r="U137" s="26"/>
      <c r="V137" s="26"/>
      <c r="W137" s="41"/>
    </row>
    <row r="138" spans="3:23" x14ac:dyDescent="0.25">
      <c r="C138" s="40"/>
      <c r="D138" s="28"/>
      <c r="E138" s="28"/>
      <c r="F138" s="28"/>
      <c r="G138" s="26"/>
      <c r="H138" s="28"/>
      <c r="I138" s="29"/>
      <c r="J138" s="28"/>
      <c r="K138" s="29"/>
      <c r="L138" s="28"/>
      <c r="M138" s="29"/>
      <c r="N138" s="28"/>
      <c r="O138" s="26"/>
      <c r="P138" s="28"/>
      <c r="Q138" s="26"/>
      <c r="R138" s="28"/>
      <c r="S138" s="26"/>
      <c r="T138" s="28"/>
      <c r="U138" s="26"/>
      <c r="V138" s="26"/>
      <c r="W138" s="41"/>
    </row>
    <row r="139" spans="3:23" x14ac:dyDescent="0.25">
      <c r="C139" s="40"/>
      <c r="D139" s="28"/>
      <c r="E139" s="28"/>
      <c r="F139" s="28"/>
      <c r="G139" s="26"/>
      <c r="H139" s="28"/>
      <c r="I139" s="29"/>
      <c r="J139" s="28"/>
      <c r="K139" s="29"/>
      <c r="L139" s="28"/>
      <c r="M139" s="29"/>
      <c r="N139" s="28"/>
      <c r="O139" s="26"/>
      <c r="P139" s="28"/>
      <c r="Q139" s="26"/>
      <c r="R139" s="28"/>
      <c r="S139" s="26"/>
      <c r="T139" s="28"/>
      <c r="U139" s="26"/>
      <c r="V139" s="26"/>
      <c r="W139" s="41"/>
    </row>
    <row r="140" spans="3:23" x14ac:dyDescent="0.25">
      <c r="C140" s="40"/>
      <c r="D140" s="28"/>
      <c r="E140" s="28"/>
      <c r="F140" s="28"/>
      <c r="G140" s="26"/>
      <c r="H140" s="28"/>
      <c r="I140" s="29"/>
      <c r="J140" s="28"/>
      <c r="K140" s="29"/>
      <c r="L140" s="28"/>
      <c r="M140" s="29"/>
      <c r="N140" s="28"/>
      <c r="O140" s="26"/>
      <c r="P140" s="28"/>
      <c r="Q140" s="26"/>
      <c r="R140" s="28"/>
      <c r="S140" s="26"/>
      <c r="T140" s="28"/>
      <c r="U140" s="26"/>
      <c r="V140" s="26"/>
      <c r="W140" s="41"/>
    </row>
    <row r="141" spans="3:23" x14ac:dyDescent="0.25">
      <c r="C141" s="40"/>
      <c r="D141" s="28"/>
      <c r="E141" s="28"/>
      <c r="F141" s="28"/>
      <c r="G141" s="26"/>
      <c r="H141" s="28"/>
      <c r="I141" s="29"/>
      <c r="J141" s="28"/>
      <c r="K141" s="29"/>
      <c r="L141" s="28"/>
      <c r="M141" s="29"/>
      <c r="N141" s="28"/>
      <c r="O141" s="26"/>
      <c r="P141" s="28"/>
      <c r="Q141" s="26"/>
      <c r="R141" s="28"/>
      <c r="S141" s="26"/>
      <c r="T141" s="28"/>
      <c r="U141" s="26"/>
      <c r="V141" s="26"/>
      <c r="W141" s="41"/>
    </row>
    <row r="142" spans="3:23" x14ac:dyDescent="0.25">
      <c r="C142" s="29"/>
      <c r="D142" s="28"/>
      <c r="E142" s="28"/>
      <c r="F142" s="28"/>
      <c r="G142" s="26"/>
      <c r="H142" s="28"/>
      <c r="I142" s="29"/>
      <c r="J142" s="28"/>
      <c r="K142" s="29"/>
      <c r="L142" s="28"/>
      <c r="M142" s="29"/>
      <c r="N142" s="28"/>
      <c r="O142" s="26"/>
      <c r="P142" s="28"/>
      <c r="Q142" s="26"/>
      <c r="R142" s="28"/>
      <c r="S142" s="26"/>
      <c r="T142" s="28"/>
      <c r="U142" s="26"/>
      <c r="V142" s="26"/>
      <c r="W142" s="41"/>
    </row>
    <row r="143" spans="3:23" x14ac:dyDescent="0.25">
      <c r="C143" s="40"/>
      <c r="D143" s="28"/>
      <c r="E143" s="28"/>
      <c r="F143" s="28"/>
      <c r="G143" s="26"/>
      <c r="H143" s="28"/>
      <c r="I143" s="29"/>
      <c r="J143" s="28"/>
      <c r="K143" s="29"/>
      <c r="L143" s="28"/>
      <c r="M143" s="29"/>
      <c r="N143" s="28"/>
      <c r="O143" s="26"/>
      <c r="P143" s="28"/>
      <c r="Q143" s="26"/>
      <c r="R143" s="28"/>
      <c r="S143" s="26"/>
      <c r="T143" s="28"/>
      <c r="U143" s="26"/>
      <c r="V143" s="26"/>
      <c r="W143" s="41"/>
    </row>
    <row r="144" spans="3:23" x14ac:dyDescent="0.25">
      <c r="C144" s="40"/>
      <c r="D144" s="28"/>
      <c r="E144" s="28"/>
      <c r="F144" s="28"/>
      <c r="G144" s="26"/>
      <c r="H144" s="28"/>
      <c r="I144" s="29"/>
      <c r="J144" s="28"/>
      <c r="K144" s="29"/>
      <c r="L144" s="28"/>
      <c r="M144" s="29"/>
      <c r="N144" s="28"/>
      <c r="O144" s="26"/>
      <c r="P144" s="28"/>
      <c r="Q144" s="26"/>
      <c r="R144" s="28"/>
      <c r="S144" s="26"/>
      <c r="T144" s="28"/>
      <c r="U144" s="26"/>
      <c r="V144" s="26"/>
      <c r="W144" s="41"/>
    </row>
    <row r="145" spans="3:23" x14ac:dyDescent="0.25">
      <c r="C145" s="40"/>
      <c r="D145" s="28"/>
      <c r="E145" s="28"/>
      <c r="F145" s="28"/>
      <c r="G145" s="26"/>
      <c r="H145" s="28"/>
      <c r="I145" s="29"/>
      <c r="J145" s="28"/>
      <c r="K145" s="29"/>
      <c r="L145" s="28"/>
      <c r="M145" s="29"/>
      <c r="N145" s="28"/>
      <c r="O145" s="26"/>
      <c r="P145" s="28"/>
      <c r="Q145" s="26"/>
      <c r="R145" s="28"/>
      <c r="S145" s="26"/>
      <c r="T145" s="28"/>
      <c r="U145" s="26"/>
      <c r="V145" s="26"/>
      <c r="W145" s="41"/>
    </row>
    <row r="146" spans="3:23" x14ac:dyDescent="0.25">
      <c r="C146" s="40"/>
      <c r="D146" s="28"/>
      <c r="E146" s="28"/>
      <c r="F146" s="28"/>
      <c r="G146" s="26"/>
      <c r="H146" s="28"/>
      <c r="I146" s="29"/>
      <c r="J146" s="28"/>
      <c r="K146" s="29"/>
      <c r="L146" s="28"/>
      <c r="M146" s="29"/>
      <c r="N146" s="28"/>
      <c r="O146" s="26"/>
      <c r="P146" s="28"/>
      <c r="Q146" s="26"/>
      <c r="R146" s="28"/>
      <c r="S146" s="26"/>
      <c r="T146" s="28"/>
      <c r="U146" s="26"/>
      <c r="V146" s="26"/>
      <c r="W146" s="41"/>
    </row>
    <row r="147" spans="3:23" x14ac:dyDescent="0.25">
      <c r="C147" s="26"/>
      <c r="D147" s="28"/>
      <c r="E147" s="28"/>
      <c r="F147" s="28"/>
      <c r="G147" s="26"/>
      <c r="H147" s="28"/>
      <c r="I147" s="29"/>
      <c r="J147" s="28"/>
      <c r="K147" s="29"/>
      <c r="L147" s="28"/>
      <c r="M147" s="29"/>
      <c r="N147" s="28"/>
      <c r="O147" s="26"/>
      <c r="P147" s="28"/>
      <c r="Q147" s="26"/>
      <c r="R147" s="28"/>
      <c r="S147" s="26"/>
      <c r="T147" s="28"/>
      <c r="U147" s="26"/>
      <c r="V147" s="26"/>
      <c r="W147" s="41"/>
    </row>
    <row r="148" spans="3:23" x14ac:dyDescent="0.25">
      <c r="C148" s="29"/>
      <c r="D148" s="28"/>
      <c r="E148" s="28"/>
      <c r="F148" s="28"/>
      <c r="G148" s="26"/>
      <c r="H148" s="28"/>
      <c r="I148" s="29"/>
      <c r="J148" s="28"/>
      <c r="K148" s="29"/>
      <c r="L148" s="28"/>
      <c r="M148" s="29"/>
      <c r="N148" s="28"/>
      <c r="O148" s="26"/>
      <c r="P148" s="28"/>
      <c r="Q148" s="26"/>
      <c r="R148" s="28"/>
      <c r="S148" s="26"/>
      <c r="T148" s="28"/>
      <c r="U148" s="26"/>
      <c r="V148" s="26"/>
      <c r="W148" s="41"/>
    </row>
    <row r="149" spans="3:23" x14ac:dyDescent="0.25">
      <c r="C149" s="26"/>
      <c r="D149" s="40"/>
      <c r="E149" s="40"/>
      <c r="F149" s="40"/>
      <c r="G149" s="29"/>
      <c r="H149" s="40"/>
      <c r="I149" s="29"/>
      <c r="J149" s="40"/>
      <c r="K149" s="29"/>
      <c r="L149" s="40"/>
      <c r="M149" s="29"/>
      <c r="N149" s="40"/>
      <c r="O149" s="29"/>
      <c r="P149" s="40"/>
      <c r="Q149" s="29"/>
      <c r="R149" s="40"/>
      <c r="S149" s="29"/>
      <c r="T149" s="40"/>
      <c r="U149" s="29"/>
      <c r="V149" s="29"/>
      <c r="W149" s="41"/>
    </row>
    <row r="150" spans="3:23" x14ac:dyDescent="0.25">
      <c r="C150" s="26"/>
      <c r="D150" s="40"/>
      <c r="E150" s="40"/>
      <c r="F150" s="40"/>
      <c r="G150" s="29"/>
      <c r="H150" s="40"/>
      <c r="I150" s="29"/>
      <c r="J150" s="40"/>
      <c r="K150" s="29"/>
      <c r="L150" s="40"/>
      <c r="M150" s="29"/>
      <c r="N150" s="40"/>
      <c r="O150" s="29"/>
      <c r="P150" s="40"/>
      <c r="Q150" s="29"/>
      <c r="R150" s="40"/>
      <c r="S150" s="29"/>
      <c r="T150" s="40"/>
      <c r="U150" s="29"/>
      <c r="V150" s="29"/>
      <c r="W150" s="41"/>
    </row>
    <row r="151" spans="3:23" x14ac:dyDescent="0.25">
      <c r="C151" s="29"/>
      <c r="D151" s="40"/>
      <c r="E151" s="40"/>
      <c r="F151" s="40"/>
      <c r="G151" s="29"/>
      <c r="H151" s="40"/>
      <c r="I151" s="29"/>
      <c r="J151" s="40"/>
      <c r="K151" s="29"/>
      <c r="L151" s="40"/>
      <c r="M151" s="29"/>
      <c r="N151" s="40"/>
      <c r="O151" s="29"/>
      <c r="P151" s="40"/>
      <c r="Q151" s="29"/>
      <c r="R151" s="40"/>
      <c r="S151" s="29"/>
      <c r="T151" s="40"/>
      <c r="U151" s="29"/>
      <c r="V151" s="29"/>
      <c r="W151" s="41"/>
    </row>
    <row r="152" spans="3:23" x14ac:dyDescent="0.25">
      <c r="C152" s="29"/>
      <c r="D152" s="29"/>
      <c r="E152" s="29"/>
      <c r="F152" s="29"/>
      <c r="G152" s="29"/>
      <c r="H152" s="29"/>
      <c r="I152" s="29"/>
      <c r="J152" s="29"/>
      <c r="K152" s="29"/>
      <c r="L152" s="29"/>
      <c r="M152" s="29"/>
      <c r="N152" s="29"/>
      <c r="O152" s="29"/>
      <c r="P152" s="29"/>
      <c r="Q152" s="29"/>
      <c r="R152" s="29"/>
      <c r="S152" s="29"/>
      <c r="T152" s="29"/>
      <c r="U152" s="29"/>
      <c r="V152" s="29"/>
      <c r="W152" s="41"/>
    </row>
    <row r="153" spans="3:23" x14ac:dyDescent="0.25">
      <c r="C153" s="29"/>
      <c r="D153" s="29"/>
      <c r="E153" s="29"/>
      <c r="F153" s="29"/>
      <c r="G153" s="29"/>
      <c r="H153" s="29"/>
      <c r="I153" s="29"/>
      <c r="J153" s="29"/>
      <c r="K153" s="29"/>
      <c r="L153" s="29"/>
      <c r="M153" s="29"/>
      <c r="N153" s="29"/>
      <c r="O153" s="29"/>
      <c r="P153" s="29"/>
      <c r="Q153" s="29"/>
      <c r="R153" s="29"/>
      <c r="S153" s="29"/>
      <c r="T153" s="29"/>
      <c r="U153" s="29"/>
      <c r="V153" s="29"/>
      <c r="W153" s="41"/>
    </row>
    <row r="154" spans="3:23" x14ac:dyDescent="0.25">
      <c r="W154" s="41"/>
    </row>
    <row r="155" spans="3:23" x14ac:dyDescent="0.25">
      <c r="W155" s="41"/>
    </row>
    <row r="156" spans="3:23" x14ac:dyDescent="0.25">
      <c r="C156" s="41"/>
      <c r="D156" s="41"/>
      <c r="E156" s="41"/>
      <c r="F156" s="41"/>
      <c r="G156" s="41"/>
      <c r="H156" s="41"/>
      <c r="I156" s="41"/>
      <c r="J156" s="41"/>
      <c r="K156" s="41"/>
      <c r="L156" s="41"/>
      <c r="M156" s="41"/>
      <c r="N156" s="41"/>
      <c r="O156" s="41"/>
      <c r="P156" s="41"/>
      <c r="Q156" s="41"/>
      <c r="R156" s="41"/>
      <c r="S156" s="41"/>
      <c r="T156" s="41"/>
      <c r="U156" s="41"/>
      <c r="V156" s="41"/>
      <c r="W156" s="41"/>
    </row>
    <row r="157" spans="3:23" x14ac:dyDescent="0.25">
      <c r="C157" s="43"/>
      <c r="D157" s="43"/>
      <c r="E157" s="43"/>
      <c r="F157" s="43"/>
      <c r="G157" s="43"/>
      <c r="H157" s="43"/>
      <c r="I157" s="43"/>
      <c r="J157" s="43"/>
      <c r="K157" s="43"/>
      <c r="L157" s="43"/>
      <c r="M157" s="43"/>
      <c r="N157" s="43"/>
      <c r="O157" s="43"/>
      <c r="P157" s="43"/>
      <c r="Q157" s="43"/>
      <c r="R157" s="43"/>
      <c r="S157" s="43"/>
      <c r="T157" s="43"/>
      <c r="U157" s="43"/>
      <c r="V157" s="43"/>
      <c r="W157" s="41"/>
    </row>
    <row r="158" spans="3:23" ht="49.15" customHeight="1" x14ac:dyDescent="0.25">
      <c r="C158" s="341" t="str">
        <f>"Ledelsesrapport for "&amp;IF(Styrelse="","",Styrelse)</f>
        <v xml:space="preserve">Ledelsesrapport for </v>
      </c>
      <c r="D158" s="341"/>
      <c r="E158" s="341"/>
      <c r="F158" s="341"/>
      <c r="G158" s="341"/>
      <c r="H158" s="341"/>
      <c r="I158" s="341"/>
      <c r="J158" s="341"/>
      <c r="K158" s="341"/>
      <c r="L158" s="341"/>
      <c r="M158" s="341"/>
      <c r="N158" s="341"/>
      <c r="O158" s="341"/>
      <c r="P158" s="341"/>
      <c r="Q158" s="341"/>
      <c r="R158" s="341"/>
      <c r="S158" s="341"/>
      <c r="T158" s="341"/>
      <c r="U158" s="341"/>
      <c r="V158" s="341"/>
      <c r="W158" s="41"/>
    </row>
    <row r="159" spans="3:23" x14ac:dyDescent="0.25">
      <c r="C159" s="42"/>
      <c r="D159" s="42"/>
      <c r="E159" s="42"/>
      <c r="F159" s="42"/>
      <c r="G159" s="42"/>
      <c r="H159" s="42"/>
      <c r="I159" s="42"/>
      <c r="J159" s="42"/>
      <c r="K159" s="42"/>
      <c r="L159" s="42"/>
      <c r="M159" s="42"/>
      <c r="N159" s="42"/>
      <c r="O159" s="42"/>
      <c r="P159" s="42"/>
      <c r="Q159" s="42"/>
      <c r="R159" s="42"/>
      <c r="S159" s="42"/>
      <c r="T159" s="42"/>
      <c r="U159" s="42"/>
      <c r="V159" s="42"/>
      <c r="W159" s="41"/>
    </row>
    <row r="160" spans="3:23" x14ac:dyDescent="0.25">
      <c r="C160" s="43"/>
      <c r="D160" s="43"/>
      <c r="E160" s="43"/>
      <c r="F160" s="43"/>
      <c r="G160" s="43"/>
      <c r="H160" s="43"/>
      <c r="I160" s="43"/>
      <c r="J160" s="43"/>
      <c r="K160" s="43"/>
      <c r="L160" s="43"/>
      <c r="M160" s="43"/>
      <c r="N160" s="43"/>
      <c r="O160" s="43"/>
      <c r="P160" s="43"/>
      <c r="Q160" s="43"/>
      <c r="R160" s="43"/>
      <c r="S160" s="43"/>
      <c r="T160" s="43"/>
      <c r="U160" s="43"/>
      <c r="V160" s="43"/>
      <c r="W160" s="41"/>
    </row>
    <row r="161" spans="3:23" x14ac:dyDescent="0.25">
      <c r="C161" s="220" t="str">
        <f>IF(S_InputArk!E13&lt;&gt;"Ikke angivet",S_InputArk!D13&amp;S_InputArk!E13,"")</f>
        <v/>
      </c>
      <c r="D161" s="220"/>
      <c r="E161" s="220"/>
      <c r="F161" s="220"/>
      <c r="G161" s="220"/>
      <c r="H161" s="220"/>
      <c r="I161" s="220"/>
      <c r="J161" s="220"/>
      <c r="K161" s="220" t="str">
        <f>IF(S_InputArk!E14&lt;&gt;"Ikke angivet",S_InputArk!D14&amp;S_InputArk!E14,"")</f>
        <v/>
      </c>
      <c r="L161" s="220"/>
      <c r="M161" s="220"/>
      <c r="N161" s="220"/>
      <c r="O161" s="220"/>
      <c r="P161" s="220"/>
      <c r="Q161" s="220"/>
      <c r="R161" s="220"/>
      <c r="S161" s="220"/>
      <c r="T161" s="220"/>
      <c r="U161" s="220"/>
      <c r="V161" s="220"/>
      <c r="W161" s="41"/>
    </row>
    <row r="162" spans="3:23" ht="15.75" x14ac:dyDescent="0.25">
      <c r="C162" s="220"/>
      <c r="D162" s="220"/>
      <c r="E162" s="220"/>
      <c r="F162" s="220"/>
      <c r="G162" s="220"/>
      <c r="H162" s="220"/>
      <c r="I162" s="220"/>
      <c r="J162" s="220"/>
      <c r="K162" s="328" t="s">
        <v>202</v>
      </c>
      <c r="L162" s="328"/>
      <c r="M162" s="328"/>
      <c r="N162" s="328"/>
      <c r="O162" s="328"/>
      <c r="P162" s="243"/>
      <c r="Q162" s="220"/>
      <c r="R162" s="243"/>
      <c r="S162" s="220"/>
      <c r="T162" s="243"/>
      <c r="U162" s="220"/>
      <c r="V162" s="220"/>
      <c r="W162" s="41"/>
    </row>
    <row r="163" spans="3:23" x14ac:dyDescent="0.25">
      <c r="C163" s="26"/>
      <c r="D163" s="28"/>
      <c r="E163" s="28"/>
      <c r="F163" s="28"/>
      <c r="G163" s="26"/>
      <c r="H163" s="28"/>
      <c r="I163" s="29"/>
      <c r="J163" s="28"/>
      <c r="K163" s="29"/>
      <c r="L163" s="28"/>
      <c r="M163" s="26"/>
      <c r="N163" s="28"/>
      <c r="O163" s="26"/>
      <c r="P163" s="28"/>
      <c r="Q163" s="26"/>
      <c r="R163" s="28"/>
      <c r="S163" s="26"/>
      <c r="T163" s="28"/>
      <c r="U163" s="26"/>
      <c r="V163" s="26"/>
      <c r="W163" s="41"/>
    </row>
    <row r="164" spans="3:23" x14ac:dyDescent="0.25">
      <c r="C164" s="26"/>
      <c r="D164" s="28"/>
      <c r="E164" s="28"/>
      <c r="F164" s="28"/>
      <c r="G164" s="26"/>
      <c r="H164" s="28"/>
      <c r="I164" s="26"/>
      <c r="J164" s="28"/>
      <c r="K164" s="26"/>
      <c r="L164" s="28"/>
      <c r="M164" s="26"/>
      <c r="N164" s="28"/>
      <c r="O164" s="26"/>
      <c r="P164" s="28"/>
      <c r="Q164" s="26"/>
      <c r="R164" s="28"/>
      <c r="S164" s="26"/>
      <c r="T164" s="28"/>
      <c r="U164" s="26"/>
      <c r="V164" s="26"/>
      <c r="W164" s="41"/>
    </row>
    <row r="165" spans="3:23" x14ac:dyDescent="0.25">
      <c r="C165" s="26"/>
      <c r="D165" s="28"/>
      <c r="E165" s="28"/>
      <c r="F165" s="28"/>
      <c r="G165" s="26"/>
      <c r="H165" s="28"/>
      <c r="I165" s="29"/>
      <c r="J165" s="28"/>
      <c r="K165" s="29"/>
      <c r="L165" s="28"/>
      <c r="M165" s="29"/>
      <c r="N165" s="28"/>
      <c r="O165" s="26"/>
      <c r="P165" s="28"/>
      <c r="Q165" s="26"/>
      <c r="R165" s="28"/>
      <c r="S165" s="26"/>
      <c r="T165" s="28"/>
      <c r="U165" s="26"/>
      <c r="V165" s="26"/>
      <c r="W165" s="41"/>
    </row>
    <row r="166" spans="3:23" x14ac:dyDescent="0.25">
      <c r="C166" s="40"/>
      <c r="D166" s="28"/>
      <c r="E166" s="28"/>
      <c r="F166" s="28"/>
      <c r="G166" s="26"/>
      <c r="H166" s="28"/>
      <c r="I166" s="38"/>
      <c r="J166" s="28"/>
      <c r="K166" s="38"/>
      <c r="L166" s="28"/>
      <c r="M166" s="29"/>
      <c r="N166" s="28"/>
      <c r="O166" s="26"/>
      <c r="P166" s="28"/>
      <c r="Q166" s="26"/>
      <c r="R166" s="28"/>
      <c r="S166" s="26"/>
      <c r="T166" s="28"/>
      <c r="U166" s="26"/>
      <c r="V166" s="26"/>
      <c r="W166" s="41"/>
    </row>
    <row r="167" spans="3:23" x14ac:dyDescent="0.25">
      <c r="C167" s="29"/>
      <c r="D167" s="28"/>
      <c r="E167" s="28"/>
      <c r="F167" s="28"/>
      <c r="G167" s="26"/>
      <c r="H167" s="28"/>
      <c r="I167" s="29"/>
      <c r="J167" s="28"/>
      <c r="K167" s="29"/>
      <c r="L167" s="28"/>
      <c r="M167" s="29"/>
      <c r="N167" s="28"/>
      <c r="O167" s="26"/>
      <c r="P167" s="28"/>
      <c r="Q167" s="26"/>
      <c r="R167" s="28"/>
      <c r="S167" s="26"/>
      <c r="T167" s="28"/>
      <c r="U167" s="26"/>
      <c r="V167" s="26"/>
      <c r="W167" s="41"/>
    </row>
    <row r="168" spans="3:23" x14ac:dyDescent="0.25">
      <c r="C168" s="29"/>
      <c r="D168" s="28"/>
      <c r="E168" s="28"/>
      <c r="F168" s="28"/>
      <c r="G168" s="26"/>
      <c r="H168" s="28"/>
      <c r="I168" s="29"/>
      <c r="J168" s="28"/>
      <c r="K168" s="29"/>
      <c r="L168" s="28"/>
      <c r="M168" s="29"/>
      <c r="N168" s="28"/>
      <c r="O168" s="26"/>
      <c r="P168" s="28"/>
      <c r="Q168" s="26"/>
      <c r="R168" s="28"/>
      <c r="S168" s="26"/>
      <c r="T168" s="28"/>
      <c r="U168" s="26"/>
      <c r="V168" s="26"/>
      <c r="W168" s="41"/>
    </row>
    <row r="169" spans="3:23" x14ac:dyDescent="0.25">
      <c r="C169" s="40"/>
      <c r="D169" s="28"/>
      <c r="E169" s="28"/>
      <c r="F169" s="28"/>
      <c r="G169" s="26"/>
      <c r="H169" s="28"/>
      <c r="I169" s="29"/>
      <c r="J169" s="28"/>
      <c r="K169" s="29"/>
      <c r="L169" s="28"/>
      <c r="M169" s="29"/>
      <c r="N169" s="28"/>
      <c r="O169" s="26"/>
      <c r="P169" s="28"/>
      <c r="Q169" s="26"/>
      <c r="R169" s="28"/>
      <c r="S169" s="26"/>
      <c r="T169" s="28"/>
      <c r="U169" s="26"/>
      <c r="V169" s="26"/>
      <c r="W169" s="41"/>
    </row>
    <row r="170" spans="3:23" x14ac:dyDescent="0.25">
      <c r="C170" s="40"/>
      <c r="D170" s="28"/>
      <c r="E170" s="28"/>
      <c r="F170" s="28"/>
      <c r="G170" s="26"/>
      <c r="H170" s="28"/>
      <c r="I170" s="29"/>
      <c r="J170" s="28"/>
      <c r="K170" s="29"/>
      <c r="L170" s="28"/>
      <c r="M170" s="29"/>
      <c r="N170" s="28"/>
      <c r="O170" s="26"/>
      <c r="P170" s="28"/>
      <c r="Q170" s="26"/>
      <c r="R170" s="28"/>
      <c r="S170" s="26"/>
      <c r="T170" s="28"/>
      <c r="U170" s="26"/>
      <c r="V170" s="26"/>
      <c r="W170" s="41"/>
    </row>
    <row r="171" spans="3:23" x14ac:dyDescent="0.25">
      <c r="C171" s="40"/>
      <c r="D171" s="28"/>
      <c r="E171" s="28"/>
      <c r="F171" s="28"/>
      <c r="G171" s="26"/>
      <c r="H171" s="28"/>
      <c r="I171" s="29"/>
      <c r="J171" s="28"/>
      <c r="K171" s="29"/>
      <c r="L171" s="28"/>
      <c r="M171" s="29"/>
      <c r="N171" s="28"/>
      <c r="O171" s="26"/>
      <c r="P171" s="28"/>
      <c r="Q171" s="26"/>
      <c r="R171" s="28"/>
      <c r="S171" s="26"/>
      <c r="T171" s="28"/>
      <c r="U171" s="26"/>
      <c r="V171" s="26"/>
      <c r="W171" s="41"/>
    </row>
    <row r="172" spans="3:23" x14ac:dyDescent="0.25">
      <c r="C172" s="40"/>
      <c r="D172" s="28"/>
      <c r="E172" s="28"/>
      <c r="F172" s="28"/>
      <c r="G172" s="26"/>
      <c r="H172" s="28"/>
      <c r="I172" s="29"/>
      <c r="J172" s="28"/>
      <c r="K172" s="29"/>
      <c r="L172" s="28"/>
      <c r="M172" s="29"/>
      <c r="N172" s="28"/>
      <c r="O172" s="26"/>
      <c r="P172" s="28"/>
      <c r="Q172" s="26"/>
      <c r="R172" s="28"/>
      <c r="S172" s="26"/>
      <c r="T172" s="28"/>
      <c r="U172" s="26"/>
      <c r="V172" s="26"/>
      <c r="W172" s="41"/>
    </row>
    <row r="173" spans="3:23" x14ac:dyDescent="0.25">
      <c r="C173" s="29"/>
      <c r="D173" s="28"/>
      <c r="E173" s="28"/>
      <c r="F173" s="28"/>
      <c r="G173" s="26"/>
      <c r="H173" s="28"/>
      <c r="I173" s="29"/>
      <c r="J173" s="28"/>
      <c r="K173" s="29"/>
      <c r="L173" s="28"/>
      <c r="M173" s="29"/>
      <c r="N173" s="28"/>
      <c r="O173" s="26"/>
      <c r="P173" s="28"/>
      <c r="Q173" s="26"/>
      <c r="R173" s="28"/>
      <c r="S173" s="26"/>
      <c r="T173" s="28"/>
      <c r="U173" s="26"/>
      <c r="V173" s="26"/>
      <c r="W173" s="41"/>
    </row>
    <row r="174" spans="3:23" x14ac:dyDescent="0.25">
      <c r="C174" s="40"/>
      <c r="D174" s="28"/>
      <c r="E174" s="28"/>
      <c r="F174" s="28"/>
      <c r="G174" s="26"/>
      <c r="H174" s="28"/>
      <c r="I174" s="29"/>
      <c r="J174" s="28"/>
      <c r="K174" s="29"/>
      <c r="L174" s="28"/>
      <c r="M174" s="29"/>
      <c r="N174" s="28"/>
      <c r="O174" s="26"/>
      <c r="P174" s="28"/>
      <c r="Q174" s="26"/>
      <c r="R174" s="28"/>
      <c r="S174" s="26"/>
      <c r="T174" s="28"/>
      <c r="U174" s="26"/>
      <c r="V174" s="26"/>
      <c r="W174" s="41"/>
    </row>
    <row r="175" spans="3:23" x14ac:dyDescent="0.25">
      <c r="C175" s="40"/>
      <c r="D175" s="28"/>
      <c r="E175" s="28"/>
      <c r="F175" s="28"/>
      <c r="G175" s="26"/>
      <c r="H175" s="28"/>
      <c r="I175" s="29"/>
      <c r="J175" s="28"/>
      <c r="K175" s="29"/>
      <c r="L175" s="28"/>
      <c r="M175" s="29"/>
      <c r="N175" s="28"/>
      <c r="O175" s="26"/>
      <c r="P175" s="28"/>
      <c r="Q175" s="26"/>
      <c r="R175" s="28"/>
      <c r="S175" s="26"/>
      <c r="T175" s="28"/>
      <c r="U175" s="26"/>
      <c r="V175" s="26"/>
      <c r="W175" s="41"/>
    </row>
    <row r="176" spans="3:23" x14ac:dyDescent="0.25">
      <c r="C176" s="40"/>
      <c r="D176" s="28"/>
      <c r="E176" s="28"/>
      <c r="F176" s="28"/>
      <c r="G176" s="26"/>
      <c r="H176" s="28"/>
      <c r="I176" s="29"/>
      <c r="J176" s="28"/>
      <c r="K176" s="29"/>
      <c r="L176" s="28"/>
      <c r="M176" s="29"/>
      <c r="N176" s="28"/>
      <c r="O176" s="26"/>
      <c r="P176" s="28"/>
      <c r="Q176" s="26"/>
      <c r="R176" s="28"/>
      <c r="S176" s="26"/>
      <c r="T176" s="28"/>
      <c r="U176" s="26"/>
      <c r="V176" s="26"/>
      <c r="W176" s="41"/>
    </row>
    <row r="177" spans="3:23" x14ac:dyDescent="0.25">
      <c r="C177" s="40"/>
      <c r="D177" s="28"/>
      <c r="E177" s="28"/>
      <c r="F177" s="28"/>
      <c r="G177" s="26"/>
      <c r="H177" s="28"/>
      <c r="I177" s="29"/>
      <c r="J177" s="28"/>
      <c r="K177" s="29"/>
      <c r="L177" s="28"/>
      <c r="M177" s="29"/>
      <c r="N177" s="28"/>
      <c r="O177" s="26"/>
      <c r="P177" s="28"/>
      <c r="Q177" s="26"/>
      <c r="R177" s="28"/>
      <c r="S177" s="26"/>
      <c r="T177" s="28"/>
      <c r="U177" s="26"/>
      <c r="V177" s="26"/>
      <c r="W177" s="41"/>
    </row>
    <row r="178" spans="3:23" x14ac:dyDescent="0.25">
      <c r="C178" s="26"/>
      <c r="D178" s="28"/>
      <c r="E178" s="28"/>
      <c r="F178" s="28"/>
      <c r="G178" s="26"/>
      <c r="H178" s="28"/>
      <c r="I178" s="29"/>
      <c r="J178" s="28"/>
      <c r="K178" s="29"/>
      <c r="L178" s="28"/>
      <c r="M178" s="29"/>
      <c r="N178" s="28"/>
      <c r="O178" s="26"/>
      <c r="P178" s="28"/>
      <c r="Q178" s="26"/>
      <c r="R178" s="28"/>
      <c r="S178" s="26"/>
      <c r="T178" s="28"/>
      <c r="U178" s="26"/>
      <c r="V178" s="26"/>
      <c r="W178" s="41"/>
    </row>
    <row r="179" spans="3:23" x14ac:dyDescent="0.25">
      <c r="C179" s="29"/>
      <c r="D179" s="28"/>
      <c r="E179" s="28"/>
      <c r="F179" s="28"/>
      <c r="G179" s="26"/>
      <c r="H179" s="28"/>
      <c r="I179" s="29"/>
      <c r="J179" s="28"/>
      <c r="K179" s="29"/>
      <c r="L179" s="28"/>
      <c r="M179" s="29"/>
      <c r="N179" s="28"/>
      <c r="O179" s="26"/>
      <c r="P179" s="28"/>
      <c r="Q179" s="26"/>
      <c r="R179" s="28"/>
      <c r="S179" s="26"/>
      <c r="T179" s="28"/>
      <c r="U179" s="26"/>
      <c r="V179" s="26"/>
      <c r="W179" s="41"/>
    </row>
    <row r="180" spans="3:23" x14ac:dyDescent="0.25">
      <c r="C180" s="26"/>
      <c r="D180" s="40"/>
      <c r="E180" s="40"/>
      <c r="F180" s="40"/>
      <c r="G180" s="29"/>
      <c r="H180" s="40"/>
      <c r="I180" s="29"/>
      <c r="J180" s="40"/>
      <c r="K180" s="29"/>
      <c r="L180" s="40"/>
      <c r="M180" s="29"/>
      <c r="N180" s="40"/>
      <c r="O180" s="29"/>
      <c r="P180" s="40"/>
      <c r="Q180" s="29"/>
      <c r="R180" s="40"/>
      <c r="S180" s="29"/>
      <c r="T180" s="40"/>
      <c r="U180" s="29"/>
      <c r="V180" s="29"/>
      <c r="W180" s="41"/>
    </row>
    <row r="181" spans="3:23" x14ac:dyDescent="0.25">
      <c r="C181" s="26"/>
      <c r="D181" s="40"/>
      <c r="E181" s="40"/>
      <c r="F181" s="40"/>
      <c r="G181" s="29"/>
      <c r="H181" s="40"/>
      <c r="I181" s="29"/>
      <c r="J181" s="40"/>
      <c r="K181" s="29"/>
      <c r="L181" s="40"/>
      <c r="M181" s="29"/>
      <c r="N181" s="40"/>
      <c r="O181" s="29"/>
      <c r="P181" s="40"/>
      <c r="Q181" s="29"/>
      <c r="R181" s="40"/>
      <c r="S181" s="29"/>
      <c r="T181" s="40"/>
      <c r="U181" s="29"/>
      <c r="V181" s="29"/>
      <c r="W181" s="41"/>
    </row>
    <row r="182" spans="3:23" x14ac:dyDescent="0.25">
      <c r="C182" s="29"/>
      <c r="D182" s="40"/>
      <c r="E182" s="40"/>
      <c r="F182" s="40"/>
      <c r="G182" s="29"/>
      <c r="H182" s="40"/>
      <c r="I182" s="29"/>
      <c r="J182" s="40"/>
      <c r="K182" s="29"/>
      <c r="L182" s="40"/>
      <c r="M182" s="29"/>
      <c r="N182" s="40"/>
      <c r="O182" s="29"/>
      <c r="P182" s="40"/>
      <c r="Q182" s="29"/>
      <c r="R182" s="40"/>
      <c r="S182" s="29"/>
      <c r="T182" s="40"/>
      <c r="U182" s="29"/>
      <c r="V182" s="29"/>
      <c r="W182" s="41"/>
    </row>
    <row r="183" spans="3:23" x14ac:dyDescent="0.25">
      <c r="C183" s="29"/>
      <c r="D183" s="29"/>
      <c r="E183" s="29"/>
      <c r="F183" s="29"/>
      <c r="G183" s="29"/>
      <c r="H183" s="29"/>
      <c r="I183" s="29"/>
      <c r="J183" s="29"/>
      <c r="K183" s="29"/>
      <c r="L183" s="29"/>
      <c r="M183" s="29"/>
      <c r="N183" s="29"/>
      <c r="O183" s="29"/>
      <c r="P183" s="29"/>
      <c r="Q183" s="29"/>
      <c r="R183" s="29"/>
      <c r="S183" s="29"/>
      <c r="T183" s="29"/>
      <c r="U183" s="29"/>
      <c r="V183" s="29"/>
      <c r="W183" s="41"/>
    </row>
    <row r="184" spans="3:23" x14ac:dyDescent="0.25">
      <c r="C184" s="29"/>
      <c r="D184" s="29"/>
      <c r="E184" s="29"/>
      <c r="F184" s="29"/>
      <c r="G184" s="29"/>
      <c r="H184" s="29"/>
      <c r="I184" s="29"/>
      <c r="J184" s="29"/>
      <c r="K184" s="29"/>
      <c r="L184" s="29"/>
      <c r="M184" s="29"/>
      <c r="N184" s="29"/>
      <c r="O184" s="29"/>
      <c r="P184" s="29"/>
      <c r="Q184" s="29"/>
      <c r="R184" s="29"/>
      <c r="S184" s="29"/>
      <c r="T184" s="29"/>
      <c r="U184" s="29"/>
      <c r="V184" s="29"/>
      <c r="W184" s="41"/>
    </row>
    <row r="185" spans="3:23" x14ac:dyDescent="0.25">
      <c r="W185" s="41"/>
    </row>
    <row r="186" spans="3:23" x14ac:dyDescent="0.25">
      <c r="C186" s="41"/>
      <c r="D186" s="41"/>
      <c r="E186" s="41"/>
      <c r="F186" s="41"/>
      <c r="G186" s="41"/>
      <c r="H186" s="41"/>
      <c r="I186" s="41"/>
      <c r="J186" s="41"/>
      <c r="K186" s="41"/>
      <c r="L186" s="41"/>
      <c r="M186" s="41"/>
      <c r="N186" s="41"/>
      <c r="O186" s="41"/>
      <c r="P186" s="41"/>
      <c r="Q186" s="41"/>
      <c r="R186" s="41"/>
      <c r="S186" s="41"/>
      <c r="T186" s="41"/>
      <c r="U186" s="41"/>
      <c r="V186" s="41"/>
      <c r="W186" s="41"/>
    </row>
    <row r="187" spans="3:23" x14ac:dyDescent="0.25">
      <c r="C187" s="43"/>
      <c r="D187" s="43"/>
      <c r="E187" s="43"/>
      <c r="F187" s="43"/>
      <c r="G187" s="43"/>
      <c r="H187" s="43"/>
      <c r="I187" s="43"/>
      <c r="J187" s="43"/>
      <c r="K187" s="43"/>
      <c r="L187" s="43"/>
      <c r="M187" s="43"/>
      <c r="N187" s="43"/>
      <c r="O187" s="43"/>
      <c r="P187" s="43"/>
      <c r="Q187" s="43"/>
      <c r="R187" s="43"/>
      <c r="S187" s="43"/>
      <c r="T187" s="43"/>
      <c r="U187" s="43"/>
      <c r="V187" s="43"/>
      <c r="W187" s="41"/>
    </row>
    <row r="188" spans="3:23" x14ac:dyDescent="0.25"/>
    <row r="189" spans="3:23" ht="15" hidden="1" customHeight="1" x14ac:dyDescent="0.25"/>
    <row r="190" spans="3:23" ht="15" hidden="1" customHeight="1" x14ac:dyDescent="0.25"/>
    <row r="191" spans="3:23" ht="15" hidden="1" customHeight="1" x14ac:dyDescent="0.25"/>
    <row r="192" spans="3:23"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x14ac:dyDescent="0.25"/>
  </sheetData>
  <mergeCells count="57">
    <mergeCell ref="C158:V158"/>
    <mergeCell ref="C1:V1"/>
    <mergeCell ref="C37:V37"/>
    <mergeCell ref="C67:V67"/>
    <mergeCell ref="C97:V97"/>
    <mergeCell ref="C127:V127"/>
    <mergeCell ref="R30:S30"/>
    <mergeCell ref="T30:U30"/>
    <mergeCell ref="L30:M30"/>
    <mergeCell ref="F31:F32"/>
    <mergeCell ref="H31:H32"/>
    <mergeCell ref="J31:J32"/>
    <mergeCell ref="L31:L32"/>
    <mergeCell ref="F30:G30"/>
    <mergeCell ref="H30:I30"/>
    <mergeCell ref="J30:K30"/>
    <mergeCell ref="N30:O30"/>
    <mergeCell ref="P30:Q30"/>
    <mergeCell ref="P31:P32"/>
    <mergeCell ref="R31:R32"/>
    <mergeCell ref="T31:T32"/>
    <mergeCell ref="D30:E30"/>
    <mergeCell ref="D33:E33"/>
    <mergeCell ref="K162:O162"/>
    <mergeCell ref="C31:C32"/>
    <mergeCell ref="E31:E32"/>
    <mergeCell ref="G31:G32"/>
    <mergeCell ref="I31:I32"/>
    <mergeCell ref="K31:K32"/>
    <mergeCell ref="M31:M32"/>
    <mergeCell ref="O31:O32"/>
    <mergeCell ref="D31:D32"/>
    <mergeCell ref="N31:N32"/>
    <mergeCell ref="F33:G33"/>
    <mergeCell ref="H33:I33"/>
    <mergeCell ref="J33:K33"/>
    <mergeCell ref="L33:M33"/>
    <mergeCell ref="E130:I130"/>
    <mergeCell ref="Q130:U130"/>
    <mergeCell ref="Q40:U40"/>
    <mergeCell ref="E40:I40"/>
    <mergeCell ref="E70:I70"/>
    <mergeCell ref="Q70:U70"/>
    <mergeCell ref="E100:I100"/>
    <mergeCell ref="Q100:U100"/>
    <mergeCell ref="K58:M58"/>
    <mergeCell ref="K61:M61"/>
    <mergeCell ref="O43:V44"/>
    <mergeCell ref="I43:K44"/>
    <mergeCell ref="K62:M62"/>
    <mergeCell ref="N33:O33"/>
    <mergeCell ref="Q31:Q32"/>
    <mergeCell ref="S31:S32"/>
    <mergeCell ref="U31:U32"/>
    <mergeCell ref="P33:Q33"/>
    <mergeCell ref="R33:S33"/>
    <mergeCell ref="T33:U33"/>
  </mergeCells>
  <conditionalFormatting sqref="G58">
    <cfRule type="iconSet" priority="110">
      <iconSet iconSet="3Flags" showValue="0">
        <cfvo type="percent" val="0"/>
        <cfvo type="num" val="1"/>
        <cfvo type="num" val="51"/>
      </iconSet>
    </cfRule>
  </conditionalFormatting>
  <conditionalFormatting sqref="G59">
    <cfRule type="iconSet" priority="109">
      <iconSet iconSet="3Flags" showValue="0">
        <cfvo type="percent" val="0"/>
        <cfvo type="num" val="1"/>
        <cfvo type="num" val="51"/>
      </iconSet>
    </cfRule>
  </conditionalFormatting>
  <conditionalFormatting sqref="M59">
    <cfRule type="iconSet" priority="105">
      <iconSet iconSet="3Flags" showValue="0">
        <cfvo type="percent" val="0"/>
        <cfvo type="num" val="1"/>
        <cfvo type="num" val="51"/>
      </iconSet>
    </cfRule>
  </conditionalFormatting>
  <conditionalFormatting sqref="G88">
    <cfRule type="iconSet" priority="62">
      <iconSet iconSet="3Flags" showValue="0">
        <cfvo type="percent" val="0"/>
        <cfvo type="num" val="1"/>
        <cfvo type="num" val="51"/>
      </iconSet>
    </cfRule>
  </conditionalFormatting>
  <conditionalFormatting sqref="G89">
    <cfRule type="iconSet" priority="61">
      <iconSet iconSet="3Flags" showValue="0">
        <cfvo type="percent" val="0"/>
        <cfvo type="num" val="1"/>
        <cfvo type="num" val="51"/>
      </iconSet>
    </cfRule>
  </conditionalFormatting>
  <conditionalFormatting sqref="M89">
    <cfRule type="iconSet" priority="60">
      <iconSet iconSet="3Flags" showValue="0">
        <cfvo type="percent" val="0"/>
        <cfvo type="num" val="1"/>
        <cfvo type="num" val="51"/>
      </iconSet>
    </cfRule>
  </conditionalFormatting>
  <conditionalFormatting sqref="G118">
    <cfRule type="iconSet" priority="57">
      <iconSet iconSet="3Flags" showValue="0">
        <cfvo type="percent" val="0"/>
        <cfvo type="num" val="1"/>
        <cfvo type="num" val="51"/>
      </iconSet>
    </cfRule>
  </conditionalFormatting>
  <conditionalFormatting sqref="G119">
    <cfRule type="iconSet" priority="56">
      <iconSet iconSet="3Flags" showValue="0">
        <cfvo type="percent" val="0"/>
        <cfvo type="num" val="1"/>
        <cfvo type="num" val="51"/>
      </iconSet>
    </cfRule>
  </conditionalFormatting>
  <conditionalFormatting sqref="M119">
    <cfRule type="iconSet" priority="55">
      <iconSet iconSet="3Flags" showValue="0">
        <cfvo type="percent" val="0"/>
        <cfvo type="num" val="1"/>
        <cfvo type="num" val="51"/>
      </iconSet>
    </cfRule>
  </conditionalFormatting>
  <conditionalFormatting sqref="E60">
    <cfRule type="iconSet" priority="52">
      <iconSet iconSet="3Flags" showValue="0">
        <cfvo type="percent" val="0"/>
        <cfvo type="num" val="1"/>
        <cfvo type="num" val="51"/>
      </iconSet>
    </cfRule>
  </conditionalFormatting>
  <conditionalFormatting sqref="D60">
    <cfRule type="iconSet" priority="38">
      <iconSet iconSet="3Flags" showValue="0">
        <cfvo type="percent" val="0"/>
        <cfvo type="num" val="1"/>
        <cfvo type="num" val="51"/>
      </iconSet>
    </cfRule>
  </conditionalFormatting>
  <conditionalFormatting sqref="F60">
    <cfRule type="iconSet" priority="36">
      <iconSet iconSet="3Flags" showValue="0">
        <cfvo type="percent" val="0"/>
        <cfvo type="num" val="1"/>
        <cfvo type="num" val="51"/>
      </iconSet>
    </cfRule>
  </conditionalFormatting>
  <conditionalFormatting sqref="H60">
    <cfRule type="iconSet" priority="34">
      <iconSet iconSet="3Flags" showValue="0">
        <cfvo type="percent" val="0"/>
        <cfvo type="num" val="1"/>
        <cfvo type="num" val="51"/>
      </iconSet>
    </cfRule>
  </conditionalFormatting>
  <conditionalFormatting sqref="J60">
    <cfRule type="iconSet" priority="32">
      <iconSet iconSet="3Flags" showValue="0">
        <cfvo type="percent" val="0"/>
        <cfvo type="num" val="1"/>
        <cfvo type="num" val="51"/>
      </iconSet>
    </cfRule>
  </conditionalFormatting>
  <conditionalFormatting sqref="L60">
    <cfRule type="iconSet" priority="30">
      <iconSet iconSet="3Flags" showValue="0">
        <cfvo type="percent" val="0"/>
        <cfvo type="num" val="1"/>
        <cfvo type="num" val="51"/>
      </iconSet>
    </cfRule>
  </conditionalFormatting>
  <conditionalFormatting sqref="N60">
    <cfRule type="iconSet" priority="28">
      <iconSet iconSet="3Flags" showValue="0">
        <cfvo type="percent" val="0"/>
        <cfvo type="num" val="1"/>
        <cfvo type="num" val="51"/>
      </iconSet>
    </cfRule>
  </conditionalFormatting>
  <conditionalFormatting sqref="P60">
    <cfRule type="iconSet" priority="26">
      <iconSet iconSet="3Flags" showValue="0">
        <cfvo type="percent" val="0"/>
        <cfvo type="num" val="1"/>
        <cfvo type="num" val="51"/>
      </iconSet>
    </cfRule>
  </conditionalFormatting>
  <conditionalFormatting sqref="R60">
    <cfRule type="iconSet" priority="24">
      <iconSet iconSet="3Flags" showValue="0">
        <cfvo type="percent" val="0"/>
        <cfvo type="num" val="1"/>
        <cfvo type="num" val="51"/>
      </iconSet>
    </cfRule>
  </conditionalFormatting>
  <conditionalFormatting sqref="T60">
    <cfRule type="iconSet" priority="22">
      <iconSet iconSet="3Flags" showValue="0">
        <cfvo type="percent" val="0"/>
        <cfvo type="num" val="1"/>
        <cfvo type="num" val="51"/>
      </iconSet>
    </cfRule>
  </conditionalFormatting>
  <conditionalFormatting sqref="D31:D32">
    <cfRule type="expression" dxfId="50" priority="13" stopIfTrue="1">
      <formula>D$29="yellow"</formula>
    </cfRule>
    <cfRule type="expression" dxfId="49" priority="16" stopIfTrue="1">
      <formula>D$29="green"</formula>
    </cfRule>
    <cfRule type="expression" dxfId="48" priority="17" stopIfTrue="1">
      <formula>D$29="red"</formula>
    </cfRule>
  </conditionalFormatting>
  <conditionalFormatting sqref="F31:F32 H31:H32 J31:J32 L31:L32 N31:N32 P31:P32 R31:R32 T31:T32">
    <cfRule type="expression" dxfId="47" priority="1" stopIfTrue="1">
      <formula>F$29="yellow"</formula>
    </cfRule>
    <cfRule type="expression" dxfId="46" priority="2" stopIfTrue="1">
      <formula>F$29="green"</formula>
    </cfRule>
    <cfRule type="expression" dxfId="45" priority="3" stopIfTrue="1">
      <formula>F$29="red"</formula>
    </cfRule>
  </conditionalFormatting>
  <pageMargins left="0.7" right="0.7" top="0.75" bottom="0.75" header="0.3" footer="0.3"/>
  <pageSetup paperSize="9" orientation="portrait" r:id="rId1"/>
  <ignoredErrors>
    <ignoredError sqref="E29 F29:T2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_InputSheet">
    <tabColor rgb="FF5F7F8F"/>
  </sheetPr>
  <dimension ref="A1:P311"/>
  <sheetViews>
    <sheetView showGridLines="0" topLeftCell="J4" zoomScaleNormal="100" workbookViewId="0">
      <selection activeCell="J8" sqref="J8"/>
    </sheetView>
  </sheetViews>
  <sheetFormatPr defaultColWidth="8.85546875" defaultRowHeight="15" x14ac:dyDescent="0.25"/>
  <cols>
    <col min="1" max="1" width="3.85546875" style="98" customWidth="1"/>
    <col min="2" max="2" width="21.28515625" style="98" customWidth="1"/>
    <col min="3" max="3" width="19.7109375" style="98" customWidth="1"/>
    <col min="4" max="4" width="20.7109375" style="98" customWidth="1"/>
    <col min="5" max="5" width="20.85546875" style="98" customWidth="1"/>
    <col min="6" max="6" width="19.5703125" style="98" customWidth="1"/>
    <col min="7" max="7" width="20.140625" style="100" customWidth="1"/>
    <col min="8" max="8" width="11.5703125" style="98" customWidth="1"/>
    <col min="9" max="9" width="38.140625" style="98" customWidth="1"/>
    <col min="10" max="10" width="196.42578125" style="98" bestFit="1" customWidth="1"/>
    <col min="11" max="11" width="19.140625" style="98" customWidth="1"/>
    <col min="12" max="12" width="16.28515625" style="98" customWidth="1"/>
    <col min="13" max="13" width="3.5703125" style="98" customWidth="1"/>
    <col min="14" max="14" width="9.7109375" style="98" customWidth="1"/>
    <col min="15" max="15" width="64.85546875" style="98" customWidth="1"/>
    <col min="16" max="16" width="64" style="98" customWidth="1"/>
    <col min="17" max="16384" width="8.85546875" style="98"/>
  </cols>
  <sheetData>
    <row r="1" spans="1:16" ht="30.6" customHeight="1" x14ac:dyDescent="0.25">
      <c r="F1" s="99"/>
    </row>
    <row r="2" spans="1:16" ht="42" customHeight="1" x14ac:dyDescent="0.7">
      <c r="F2"/>
      <c r="I2" s="31" t="s">
        <v>97</v>
      </c>
    </row>
    <row r="3" spans="1:16" ht="34.15" customHeight="1" x14ac:dyDescent="0.25">
      <c r="F3"/>
      <c r="G3" s="101"/>
    </row>
    <row r="4" spans="1:16" x14ac:dyDescent="0.25">
      <c r="F4" s="146"/>
      <c r="H4" s="102" t="s">
        <v>84</v>
      </c>
      <c r="I4" s="102" t="s">
        <v>81</v>
      </c>
      <c r="J4" s="102" t="s">
        <v>94</v>
      </c>
      <c r="K4" s="102" t="s">
        <v>82</v>
      </c>
      <c r="L4" s="102" t="s">
        <v>16</v>
      </c>
      <c r="N4" s="103" t="s">
        <v>83</v>
      </c>
      <c r="O4" s="104" t="s">
        <v>95</v>
      </c>
      <c r="P4" s="105" t="s">
        <v>125</v>
      </c>
    </row>
    <row r="5" spans="1:16" ht="135.75" customHeight="1" x14ac:dyDescent="0.25">
      <c r="F5" s="146"/>
      <c r="H5" s="98" t="str">
        <f>COUNTA($H$1:H4)&amp;"."</f>
        <v>1.</v>
      </c>
      <c r="I5" s="171" t="s">
        <v>203</v>
      </c>
      <c r="J5" s="170" t="s">
        <v>424</v>
      </c>
      <c r="K5" s="169" t="s">
        <v>204</v>
      </c>
      <c r="L5" s="106">
        <v>4</v>
      </c>
      <c r="N5" s="107" t="s">
        <v>206</v>
      </c>
      <c r="O5" s="172" t="s">
        <v>215</v>
      </c>
      <c r="P5" s="108" t="s">
        <v>207</v>
      </c>
    </row>
    <row r="6" spans="1:16" ht="115.9" customHeight="1" x14ac:dyDescent="0.25">
      <c r="F6" s="146"/>
      <c r="H6" s="98" t="str">
        <f>COUNTA($H$1:H5)&amp;"."</f>
        <v>2.</v>
      </c>
      <c r="I6" s="98" t="s">
        <v>209</v>
      </c>
      <c r="J6" s="176" t="s">
        <v>469</v>
      </c>
      <c r="K6" s="169" t="s">
        <v>204</v>
      </c>
      <c r="L6" s="106">
        <v>4</v>
      </c>
      <c r="N6" s="107" t="str">
        <f t="shared" ref="N6:N68" si="0">ROUNDUP(ROW($N2)/30,0)&amp;"."&amp;
CHOOSE(IF(
MOD(ROUNDUP(ROW($N2)/5,0),6)=0,6,MOD(ROUNDUP(ROW($N2)/5,0),6)),"a","b","c","d","e","f")&amp;
IF(MOD(ROW($N2),5)=0,5,MOD(ROW($N2),5))</f>
        <v>1.a2</v>
      </c>
      <c r="O6" s="110" t="s">
        <v>5</v>
      </c>
      <c r="P6" s="108" t="str">
        <f>VLOOKUP(LEFT(RIGHT(S_InputArk!$N6,2),1),Table_Kategorisering[],2,FALSE)&amp;" - "&amp;VLOOKUP(VALUE(RIGHT(S_InputArk!$N6,1)),Table_Modenhedsskala[],2,FALSE)&amp;" - "&amp;VLOOKUP(LEFT(S_InputArk!$N6,LEN(S_InputArk!$N6)-2),Table_Questions[],2,FALSE)</f>
        <v>Kontekst (4.1) - Gentaget - Organisationens kontekst</v>
      </c>
    </row>
    <row r="7" spans="1:16" ht="136.9" customHeight="1" x14ac:dyDescent="0.25">
      <c r="F7" s="146"/>
      <c r="H7" s="98" t="str">
        <f>COUNTA($H$1:H6)&amp;"."</f>
        <v>3.</v>
      </c>
      <c r="I7" s="98" t="s">
        <v>210</v>
      </c>
      <c r="J7" s="176" t="s">
        <v>421</v>
      </c>
      <c r="K7" s="169" t="s">
        <v>204</v>
      </c>
      <c r="L7" s="106">
        <v>4</v>
      </c>
      <c r="N7" s="107" t="str">
        <f t="shared" si="0"/>
        <v>1.a3</v>
      </c>
      <c r="O7" s="106" t="s">
        <v>6</v>
      </c>
      <c r="P7" s="108" t="str">
        <f>VLOOKUP(LEFT(RIGHT(S_InputArk!$N7,2),1),Table_Kategorisering[],2,FALSE)&amp;" - "&amp;VLOOKUP(VALUE(RIGHT(S_InputArk!$N7,1)),Table_Modenhedsskala[],2,FALSE)&amp;" - "&amp;VLOOKUP(LEFT(S_InputArk!$N7,LEN(S_InputArk!$N7)-2),Table_Questions[],2,FALSE)</f>
        <v>Kontekst (4.1) - Procesunderstøttet - Organisationens kontekst</v>
      </c>
    </row>
    <row r="8" spans="1:16" ht="134.44999999999999" customHeight="1" x14ac:dyDescent="0.25">
      <c r="F8" s="146"/>
      <c r="H8" s="98" t="str">
        <f>COUNTA($H$1:H7)&amp;"."</f>
        <v>4.</v>
      </c>
      <c r="I8" s="98" t="s">
        <v>211</v>
      </c>
      <c r="J8" s="176" t="s">
        <v>475</v>
      </c>
      <c r="K8" s="169" t="s">
        <v>204</v>
      </c>
      <c r="L8" s="106">
        <v>4</v>
      </c>
      <c r="N8" s="107" t="str">
        <f t="shared" si="0"/>
        <v>1.a4</v>
      </c>
      <c r="O8" s="106" t="s">
        <v>7</v>
      </c>
      <c r="P8" s="108" t="str">
        <f>VLOOKUP(LEFT(RIGHT(S_InputArk!$N8,2),1),Table_Kategorisering[],2,FALSE)&amp;" - "&amp;VLOOKUP(VALUE(RIGHT(S_InputArk!$N8,1)),Table_Modenhedsskala[],2,FALSE)&amp;" - "&amp;VLOOKUP(LEFT(S_InputArk!$N8,LEN(S_InputArk!$N8)-2),Table_Questions[],2,FALSE)</f>
        <v>Kontekst (4.1) - Styret og målbar - Organisationens kontekst</v>
      </c>
    </row>
    <row r="9" spans="1:16" ht="72" x14ac:dyDescent="0.25">
      <c r="H9" s="98" t="str">
        <f>COUNTA($H$1:H8)&amp;"."</f>
        <v>5.</v>
      </c>
      <c r="I9" s="98" t="s">
        <v>312</v>
      </c>
      <c r="J9" s="169" t="s">
        <v>316</v>
      </c>
      <c r="K9" s="169" t="s">
        <v>204</v>
      </c>
      <c r="L9" s="106">
        <v>4</v>
      </c>
      <c r="N9" s="107" t="str">
        <f t="shared" si="0"/>
        <v>1.a5</v>
      </c>
      <c r="O9" s="106" t="s">
        <v>14</v>
      </c>
      <c r="P9" s="108" t="str">
        <f>VLOOKUP(LEFT(RIGHT(S_InputArk!$N9,2),1),Table_Kategorisering[],2,FALSE)&amp;" - "&amp;VLOOKUP(VALUE(RIGHT(S_InputArk!$N9,1)),Table_Modenhedsskala[],2,FALSE)&amp;" - "&amp;VLOOKUP(LEFT(S_InputArk!$N9,LEN(S_InputArk!$N9)-2),Table_Questions[],2,FALSE)</f>
        <v>Kontekst (4.1) - Optimeret - Organisationens kontekst</v>
      </c>
    </row>
    <row r="10" spans="1:16" ht="72" x14ac:dyDescent="0.25">
      <c r="H10" s="98" t="str">
        <f>COUNTA($H$1:H9)&amp;"."</f>
        <v>6.</v>
      </c>
      <c r="I10" s="98" t="s">
        <v>212</v>
      </c>
      <c r="J10" s="169" t="s">
        <v>471</v>
      </c>
      <c r="K10" s="169" t="s">
        <v>204</v>
      </c>
      <c r="L10" s="106">
        <v>4</v>
      </c>
      <c r="N10" s="107" t="str">
        <f t="shared" si="0"/>
        <v>1.b1</v>
      </c>
      <c r="O10" s="106" t="s">
        <v>215</v>
      </c>
      <c r="P10" s="108" t="str">
        <f>VLOOKUP(LEFT(RIGHT(S_InputArk!$N10,2),1),Table_Kategorisering[],2,FALSE)&amp;" - "&amp;VLOOKUP(VALUE(RIGHT(S_InputArk!$N10,1)),Table_Modenhedsskala[],2,FALSE)&amp;" - "&amp;VLOOKUP(LEFT(S_InputArk!$N10,LEN(S_InputArk!$N10)-2),Table_Questions[],2,FALSE)</f>
        <v>Behov og forventninger (4.2) - Ad-hoc - Organisationens kontekst</v>
      </c>
    </row>
    <row r="11" spans="1:16" ht="73.900000000000006" customHeight="1" x14ac:dyDescent="0.25">
      <c r="H11" s="98" t="str">
        <f>COUNTA($H$1:H10)&amp;"."</f>
        <v>7.</v>
      </c>
      <c r="I11" s="98" t="s">
        <v>213</v>
      </c>
      <c r="J11" s="169" t="s">
        <v>317</v>
      </c>
      <c r="K11" s="169" t="s">
        <v>204</v>
      </c>
      <c r="L11" s="106">
        <v>4</v>
      </c>
      <c r="N11" s="107" t="str">
        <f t="shared" si="0"/>
        <v>1.b2</v>
      </c>
      <c r="O11" s="106" t="s">
        <v>5</v>
      </c>
      <c r="P11" s="108" t="str">
        <f>VLOOKUP(LEFT(RIGHT(S_InputArk!$N11,2),1),Table_Kategorisering[],2,FALSE)&amp;" - "&amp;VLOOKUP(VALUE(RIGHT(S_InputArk!$N11,1)),Table_Modenhedsskala[],2,FALSE)&amp;" - "&amp;VLOOKUP(LEFT(S_InputArk!$N11,LEN(S_InputArk!$N11)-2),Table_Questions[],2,FALSE)</f>
        <v>Behov og forventninger (4.2) - Gentaget - Organisationens kontekst</v>
      </c>
    </row>
    <row r="12" spans="1:16" ht="84" x14ac:dyDescent="0.3">
      <c r="A12" s="112"/>
      <c r="B12" s="113" t="s">
        <v>98</v>
      </c>
      <c r="C12" s="112"/>
      <c r="D12" s="114"/>
      <c r="E12" s="112"/>
      <c r="F12" s="112"/>
      <c r="G12" s="115"/>
      <c r="H12" s="98" t="str">
        <f>COUNTA($H$1:H11)&amp;"."</f>
        <v>8.</v>
      </c>
      <c r="I12" s="98" t="s">
        <v>124</v>
      </c>
      <c r="J12" s="169" t="s">
        <v>472</v>
      </c>
      <c r="K12" s="169" t="s">
        <v>204</v>
      </c>
      <c r="L12" s="106">
        <v>4</v>
      </c>
      <c r="N12" s="107" t="str">
        <f t="shared" si="0"/>
        <v>1.b3</v>
      </c>
      <c r="O12" s="106" t="s">
        <v>6</v>
      </c>
      <c r="P12" s="108" t="str">
        <f>VLOOKUP(LEFT(RIGHT(S_InputArk!$N12,2),1),Table_Kategorisering[],2,FALSE)&amp;" - "&amp;VLOOKUP(VALUE(RIGHT(S_InputArk!$N12,1)),Table_Modenhedsskala[],2,FALSE)&amp;" - "&amp;VLOOKUP(LEFT(S_InputArk!$N12,LEN(S_InputArk!$N12)-2),Table_Questions[],2,FALSE)</f>
        <v>Behov og forventninger (4.2) - Procesunderstøttet - Organisationens kontekst</v>
      </c>
    </row>
    <row r="13" spans="1:16" ht="108" x14ac:dyDescent="0.25">
      <c r="B13" s="109"/>
      <c r="D13" s="106"/>
      <c r="H13" s="98" t="str">
        <f>COUNTA($H$1:H12)&amp;"."</f>
        <v>9.</v>
      </c>
      <c r="I13" s="98" t="s">
        <v>364</v>
      </c>
      <c r="J13" s="169" t="s">
        <v>318</v>
      </c>
      <c r="K13" s="169" t="s">
        <v>204</v>
      </c>
      <c r="L13" s="106">
        <v>4</v>
      </c>
      <c r="N13" s="107" t="str">
        <f t="shared" si="0"/>
        <v>1.b4</v>
      </c>
      <c r="O13" s="106" t="s">
        <v>7</v>
      </c>
      <c r="P13" s="108" t="str">
        <f>VLOOKUP(LEFT(RIGHT(S_InputArk!$N13,2),1),Table_Kategorisering[],2,FALSE)&amp;" - "&amp;VLOOKUP(VALUE(RIGHT(S_InputArk!$N13,1)),Table_Modenhedsskala[],2,FALSE)&amp;" - "&amp;VLOOKUP(LEFT(S_InputArk!$N13,LEN(S_InputArk!$N13)-2),Table_Questions[],2,FALSE)</f>
        <v>Behov og forventninger (4.2) - Styret og målbar - Organisationens kontekst</v>
      </c>
    </row>
    <row r="14" spans="1:16" ht="15.75" x14ac:dyDescent="0.25">
      <c r="A14" s="117" t="s">
        <v>101</v>
      </c>
      <c r="B14" s="118" t="s">
        <v>103</v>
      </c>
      <c r="F14" s="119">
        <f>IF(COUNTBLANK(Table_Questions[#All])&gt;0,0,1)</f>
        <v>1</v>
      </c>
      <c r="H14" s="98" t="str">
        <f>COUNTA($H$1:H13)&amp;"."</f>
        <v>10.</v>
      </c>
      <c r="I14" s="98" t="s">
        <v>169</v>
      </c>
      <c r="J14" s="106" t="s">
        <v>169</v>
      </c>
      <c r="K14" s="169" t="s">
        <v>169</v>
      </c>
      <c r="L14" s="106">
        <v>4</v>
      </c>
      <c r="N14" s="107" t="str">
        <f t="shared" si="0"/>
        <v>1.b5</v>
      </c>
      <c r="O14" s="106" t="s">
        <v>14</v>
      </c>
      <c r="P14" s="108" t="str">
        <f>VLOOKUP(LEFT(RIGHT(S_InputArk!$N14,2),1),Table_Kategorisering[],2,FALSE)&amp;" - "&amp;VLOOKUP(VALUE(RIGHT(S_InputArk!$N14,1)),Table_Modenhedsskala[],2,FALSE)&amp;" - "&amp;VLOOKUP(LEFT(S_InputArk!$N14,LEN(S_InputArk!$N14)-2),Table_Questions[],2,FALSE)</f>
        <v>Behov og forventninger (4.2) - Optimeret - Organisationens kontekst</v>
      </c>
    </row>
    <row r="15" spans="1:16" ht="15.75" x14ac:dyDescent="0.25">
      <c r="A15" s="117" t="s">
        <v>102</v>
      </c>
      <c r="B15" s="120" t="s">
        <v>104</v>
      </c>
      <c r="C15" s="109"/>
      <c r="F15" s="131">
        <f>IF(COUNTBLANK(S_InputArk!$N$4:$P$304)&gt;0,0,1)</f>
        <v>1</v>
      </c>
      <c r="H15" s="109"/>
      <c r="J15" s="106"/>
      <c r="K15" s="106"/>
      <c r="L15" s="106"/>
      <c r="N15" s="107" t="str">
        <f t="shared" si="0"/>
        <v>1.c1</v>
      </c>
      <c r="O15" s="106" t="s">
        <v>215</v>
      </c>
      <c r="P15" s="108" t="str">
        <f>VLOOKUP(LEFT(RIGHT(S_InputArk!$N15,2),1),Table_Kategorisering[],2,FALSE)&amp;" - "&amp;VLOOKUP(VALUE(RIGHT(S_InputArk!$N15,1)),Table_Modenhedsskala[],2,FALSE)&amp;" - "&amp;VLOOKUP(LEFT(S_InputArk!$N15,LEN(S_InputArk!$N15)-2),Table_Questions[],2,FALSE)</f>
        <v>Omfang (4.3) - Ad-hoc - Organisationens kontekst</v>
      </c>
    </row>
    <row r="16" spans="1:16" x14ac:dyDescent="0.25">
      <c r="A16" s="122"/>
      <c r="E16" s="106"/>
      <c r="F16" s="106"/>
      <c r="G16" s="123"/>
      <c r="H16" s="109"/>
      <c r="J16" s="110"/>
      <c r="K16" s="111"/>
      <c r="L16" s="106"/>
      <c r="N16" s="107" t="str">
        <f t="shared" si="0"/>
        <v>1.c2</v>
      </c>
      <c r="O16" s="106" t="s">
        <v>5</v>
      </c>
      <c r="P16" s="108" t="str">
        <f>VLOOKUP(LEFT(RIGHT(S_InputArk!$N16,2),1),Table_Kategorisering[],2,FALSE)&amp;" - "&amp;VLOOKUP(VALUE(RIGHT(S_InputArk!$N16,1)),Table_Modenhedsskala[],2,FALSE)&amp;" - "&amp;VLOOKUP(LEFT(S_InputArk!$N16,LEN(S_InputArk!$N16)-2),Table_Questions[],2,FALSE)</f>
        <v>Omfang (4.3) - Gentaget - Organisationens kontekst</v>
      </c>
    </row>
    <row r="17" spans="1:16" x14ac:dyDescent="0.25">
      <c r="A17" s="122"/>
      <c r="E17" s="106"/>
      <c r="F17" s="106"/>
      <c r="G17" s="123"/>
      <c r="H17" s="109"/>
      <c r="I17" s="106"/>
      <c r="J17" s="106"/>
      <c r="K17" s="106"/>
      <c r="L17" s="106"/>
      <c r="N17" s="107" t="str">
        <f t="shared" si="0"/>
        <v>1.c3</v>
      </c>
      <c r="O17" s="106" t="s">
        <v>6</v>
      </c>
      <c r="P17" s="108" t="str">
        <f>VLOOKUP(LEFT(RIGHT(S_InputArk!$N17,2),1),Table_Kategorisering[],2,FALSE)&amp;" - "&amp;VLOOKUP(VALUE(RIGHT(S_InputArk!$N17,1)),Table_Modenhedsskala[],2,FALSE)&amp;" - "&amp;VLOOKUP(LEFT(S_InputArk!$N17,LEN(S_InputArk!$N17)-2),Table_Questions[],2,FALSE)</f>
        <v>Omfang (4.3) - Procesunderstøttet - Organisationens kontekst</v>
      </c>
    </row>
    <row r="18" spans="1:16" ht="15" customHeight="1" x14ac:dyDescent="0.3">
      <c r="A18" s="124"/>
      <c r="B18" s="113" t="s">
        <v>96</v>
      </c>
      <c r="C18" s="112"/>
      <c r="D18" s="114"/>
      <c r="E18" s="112"/>
      <c r="F18" s="112"/>
      <c r="G18" s="115"/>
      <c r="H18" s="109"/>
      <c r="J18" s="106"/>
      <c r="K18" s="106"/>
      <c r="L18" s="106"/>
      <c r="N18" s="107" t="str">
        <f t="shared" si="0"/>
        <v>1.c4</v>
      </c>
      <c r="O18" s="106" t="s">
        <v>7</v>
      </c>
      <c r="P18" s="108" t="str">
        <f>VLOOKUP(LEFT(RIGHT(S_InputArk!$N18,2),1),Table_Kategorisering[],2,FALSE)&amp;" - "&amp;VLOOKUP(VALUE(RIGHT(S_InputArk!$N18,1)),Table_Modenhedsskala[],2,FALSE)&amp;" - "&amp;VLOOKUP(LEFT(S_InputArk!$N18,LEN(S_InputArk!$N18)-2),Table_Questions[],2,FALSE)</f>
        <v>Omfang (4.3) - Styret og målbar - Organisationens kontekst</v>
      </c>
    </row>
    <row r="19" spans="1:16" x14ac:dyDescent="0.25">
      <c r="A19" s="122"/>
      <c r="G19" s="123"/>
      <c r="H19" s="109"/>
      <c r="I19" s="106">
        <f>LEFT(INDEX(Table_Questions[Område],MATCH("Ikke angivet",Table_Questions[Titel/Tema],0)),LEN(INDEX(Table_Questions[Område],MATCH("Ikke angivet",Table_Questions[Titel/Tema],0)))-1)-1</f>
        <v>9</v>
      </c>
      <c r="J19" s="116"/>
      <c r="K19" s="116"/>
      <c r="L19" s="106"/>
      <c r="N19" s="107" t="str">
        <f t="shared" si="0"/>
        <v>1.c5</v>
      </c>
      <c r="O19" s="106" t="s">
        <v>14</v>
      </c>
      <c r="P19" s="108" t="str">
        <f>VLOOKUP(LEFT(RIGHT(S_InputArk!$N19,2),1),Table_Kategorisering[],2,FALSE)&amp;" - "&amp;VLOOKUP(VALUE(RIGHT(S_InputArk!$N19,1)),Table_Modenhedsskala[],2,FALSE)&amp;" - "&amp;VLOOKUP(LEFT(S_InputArk!$N19,LEN(S_InputArk!$N19)-2),Table_Questions[],2,FALSE)</f>
        <v>Omfang (4.3) - Optimeret - Organisationens kontekst</v>
      </c>
    </row>
    <row r="20" spans="1:16" x14ac:dyDescent="0.25">
      <c r="A20" s="122"/>
      <c r="G20" s="123"/>
      <c r="H20" s="109"/>
      <c r="I20" s="106"/>
      <c r="J20" s="106"/>
      <c r="K20" s="106"/>
      <c r="L20" s="106"/>
      <c r="N20" s="107" t="str">
        <f t="shared" si="0"/>
        <v>1.d1</v>
      </c>
      <c r="O20" s="106" t="s">
        <v>215</v>
      </c>
      <c r="P20" s="108" t="str">
        <f>VLOOKUP(LEFT(RIGHT(S_InputArk!$N20,2),1),Table_Kategorisering[],2,FALSE)&amp;" - "&amp;VLOOKUP(VALUE(RIGHT(S_InputArk!$N20,1)),Table_Modenhedsskala[],2,FALSE)&amp;" - "&amp;VLOOKUP(LEFT(S_InputArk!$N20,LEN(S_InputArk!$N20)-2),Table_Questions[],2,FALSE)</f>
        <v>Ledelsessystem (4.4) - Ad-hoc - Organisationens kontekst</v>
      </c>
    </row>
    <row r="21" spans="1:16" ht="15.75" x14ac:dyDescent="0.25">
      <c r="A21" s="149"/>
      <c r="B21" s="150" t="s">
        <v>106</v>
      </c>
      <c r="C21" s="151"/>
      <c r="D21" s="151"/>
      <c r="E21" s="151"/>
      <c r="F21" s="151"/>
      <c r="G21" s="152"/>
      <c r="H21" s="109"/>
      <c r="J21" s="110"/>
      <c r="K21" s="106"/>
      <c r="L21" s="106"/>
      <c r="N21" s="107" t="str">
        <f t="shared" si="0"/>
        <v>1.d2</v>
      </c>
      <c r="O21" s="106" t="s">
        <v>5</v>
      </c>
      <c r="P21" s="108" t="str">
        <f>VLOOKUP(LEFT(RIGHT(S_InputArk!$N21,2),1),Table_Kategorisering[],2,FALSE)&amp;" - "&amp;VLOOKUP(VALUE(RIGHT(S_InputArk!$N21,1)),Table_Modenhedsskala[],2,FALSE)&amp;" - "&amp;VLOOKUP(LEFT(S_InputArk!$N21,LEN(S_InputArk!$N21)-2),Table_Questions[],2,FALSE)</f>
        <v>Ledelsessystem (4.4) - Gentaget - Organisationens kontekst</v>
      </c>
    </row>
    <row r="22" spans="1:16" ht="15.75" x14ac:dyDescent="0.25">
      <c r="A22" s="153" t="s">
        <v>105</v>
      </c>
      <c r="B22" s="154" t="str">
        <f>"- Der vil som standard være valgt samtlige kvalitetsstyringsprincipper, hvis der oprettes en ny sektion."</f>
        <v>- Der vil som standard være valgt samtlige kvalitetsstyringsprincipper, hvis der oprettes en ny sektion.</v>
      </c>
      <c r="C22" s="151"/>
      <c r="D22" s="151"/>
      <c r="E22" s="151"/>
      <c r="F22" s="151"/>
      <c r="G22" s="152"/>
      <c r="H22" s="109"/>
      <c r="I22" s="121"/>
      <c r="J22" s="106"/>
      <c r="K22" s="106"/>
      <c r="L22" s="106"/>
      <c r="N22" s="107" t="str">
        <f t="shared" si="0"/>
        <v>1.d3</v>
      </c>
      <c r="O22" s="106" t="s">
        <v>6</v>
      </c>
      <c r="P22" s="108" t="str">
        <f>VLOOKUP(LEFT(RIGHT(S_InputArk!$N22,2),1),Table_Kategorisering[],2,FALSE)&amp;" - "&amp;VLOOKUP(VALUE(RIGHT(S_InputArk!$N22,1)),Table_Modenhedsskala[],2,FALSE)&amp;" - "&amp;VLOOKUP(LEFT(S_InputArk!$N22,LEN(S_InputArk!$N22)-2),Table_Questions[],2,FALSE)</f>
        <v>Ledelsessystem (4.4) - Procesunderstøttet - Organisationens kontekst</v>
      </c>
    </row>
    <row r="23" spans="1:16" ht="15.75" x14ac:dyDescent="0.25">
      <c r="A23" s="151"/>
      <c r="B23" s="154" t="s">
        <v>173</v>
      </c>
      <c r="C23" s="151"/>
      <c r="D23" s="151"/>
      <c r="E23" s="151"/>
      <c r="F23" s="151"/>
      <c r="G23" s="155"/>
      <c r="H23" s="109"/>
      <c r="J23" s="111"/>
      <c r="K23" s="106"/>
      <c r="L23" s="106"/>
      <c r="N23" s="107" t="str">
        <f t="shared" si="0"/>
        <v>1.d4</v>
      </c>
      <c r="O23" s="106" t="s">
        <v>7</v>
      </c>
      <c r="P23" s="108" t="str">
        <f>VLOOKUP(LEFT(RIGHT(S_InputArk!$N23,2),1),Table_Kategorisering[],2,FALSE)&amp;" - "&amp;VLOOKUP(VALUE(RIGHT(S_InputArk!$N23,1)),Table_Modenhedsskala[],2,FALSE)&amp;" - "&amp;VLOOKUP(LEFT(S_InputArk!$N23,LEN(S_InputArk!$N23)-2),Table_Questions[],2,FALSE)</f>
        <v>Ledelsessystem (4.4) - Styret og målbar - Organisationens kontekst</v>
      </c>
    </row>
    <row r="24" spans="1:16" ht="15.75" x14ac:dyDescent="0.25">
      <c r="A24" s="149"/>
      <c r="B24" s="154" t="str">
        <f>"- Grønne felter i de to tabeller til højre skal udfyldes."</f>
        <v>- Grønne felter i de to tabeller til højre skal udfyldes.</v>
      </c>
      <c r="C24" s="151"/>
      <c r="D24" s="151"/>
      <c r="E24" s="151"/>
      <c r="F24" s="151"/>
      <c r="G24" s="152"/>
      <c r="H24" s="109"/>
      <c r="I24" s="106"/>
      <c r="J24" s="110"/>
      <c r="K24" s="106"/>
      <c r="L24" s="106"/>
      <c r="N24" s="107" t="str">
        <f t="shared" si="0"/>
        <v>1.d5</v>
      </c>
      <c r="O24" s="106" t="s">
        <v>14</v>
      </c>
      <c r="P24" s="108" t="str">
        <f>VLOOKUP(LEFT(RIGHT(S_InputArk!$N24,2),1),Table_Kategorisering[],2,FALSE)&amp;" - "&amp;VLOOKUP(VALUE(RIGHT(S_InputArk!$N24,1)),Table_Modenhedsskala[],2,FALSE)&amp;" - "&amp;VLOOKUP(LEFT(S_InputArk!$N24,LEN(S_InputArk!$N24)-2),Table_Questions[],2,FALSE)</f>
        <v>Ledelsessystem (4.4) - Optimeret - Organisationens kontekst</v>
      </c>
    </row>
    <row r="25" spans="1:16" ht="15.75" x14ac:dyDescent="0.25">
      <c r="A25" s="149"/>
      <c r="B25" s="154" t="s">
        <v>170</v>
      </c>
      <c r="C25" s="151"/>
      <c r="D25" s="151"/>
      <c r="E25" s="156"/>
      <c r="F25" s="156"/>
      <c r="G25" s="155"/>
      <c r="H25" s="109"/>
      <c r="J25" s="106"/>
      <c r="K25" s="106"/>
      <c r="L25" s="106"/>
      <c r="N25" s="107" t="str">
        <f t="shared" si="0"/>
        <v>1.e1</v>
      </c>
      <c r="O25" s="106" t="s">
        <v>123</v>
      </c>
      <c r="P25" s="108" t="str">
        <f>VLOOKUP(LEFT(RIGHT(S_InputArk!$N25,2),1),Table_Kategorisering[],2,FALSE)&amp;" - "&amp;VLOOKUP(VALUE(RIGHT(S_InputArk!$N25,1)),Table_Modenhedsskala[],2,FALSE)&amp;" - "&amp;VLOOKUP(LEFT(S_InputArk!$N25,LEN(S_InputArk!$N25)-2),Table_Questions[],2,FALSE)</f>
        <v>N/A - Ad-hoc - Organisationens kontekst</v>
      </c>
    </row>
    <row r="26" spans="1:16" ht="15.75" x14ac:dyDescent="0.25">
      <c r="A26" s="149"/>
      <c r="B26" s="157" t="str">
        <f>"- Nye spørgeområder skal vises ved at vise alle rækker i 2 Spørgeramme (--&gt; Marker alle rækker --&gt; Højreklik --&gt; Unhide)"</f>
        <v>- Nye spørgeområder skal vises ved at vise alle rækker i 2 Spørgeramme (--&gt; Marker alle rækker --&gt; Højreklik --&gt; Unhide)</v>
      </c>
      <c r="C26" s="151"/>
      <c r="D26" s="158"/>
      <c r="E26" s="151"/>
      <c r="F26" s="151"/>
      <c r="G26" s="155"/>
      <c r="H26" s="109"/>
      <c r="I26" s="125"/>
      <c r="J26" s="106"/>
      <c r="K26" s="106"/>
      <c r="L26" s="106"/>
      <c r="N26" s="107" t="str">
        <f t="shared" si="0"/>
        <v>1.e2</v>
      </c>
      <c r="O26" s="106" t="s">
        <v>123</v>
      </c>
      <c r="P26" s="108" t="str">
        <f>VLOOKUP(LEFT(RIGHT(S_InputArk!$N26,2),1),Table_Kategorisering[],2,FALSE)&amp;" - "&amp;VLOOKUP(VALUE(RIGHT(S_InputArk!$N26,1)),Table_Modenhedsskala[],2,FALSE)&amp;" - "&amp;VLOOKUP(LEFT(S_InputArk!$N26,LEN(S_InputArk!$N26)-2),Table_Questions[],2,FALSE)</f>
        <v>N/A - Gentaget - Organisationens kontekst</v>
      </c>
    </row>
    <row r="27" spans="1:16" ht="15.75" x14ac:dyDescent="0.25">
      <c r="A27" s="151"/>
      <c r="B27" s="157" t="s">
        <v>171</v>
      </c>
      <c r="C27" s="151"/>
      <c r="D27" s="158"/>
      <c r="E27" s="151"/>
      <c r="F27" s="151"/>
      <c r="G27" s="155"/>
      <c r="H27" s="109"/>
      <c r="I27" s="125"/>
      <c r="J27" s="106"/>
      <c r="K27" s="106"/>
      <c r="L27" s="106"/>
      <c r="N27" s="107" t="str">
        <f t="shared" si="0"/>
        <v>1.e3</v>
      </c>
      <c r="O27" s="106" t="s">
        <v>123</v>
      </c>
      <c r="P27" s="108" t="str">
        <f>VLOOKUP(LEFT(RIGHT(S_InputArk!$N27,2),1),Table_Kategorisering[],2,FALSE)&amp;" - "&amp;VLOOKUP(VALUE(RIGHT(S_InputArk!$N27,1)),Table_Modenhedsskala[],2,FALSE)&amp;" - "&amp;VLOOKUP(LEFT(S_InputArk!$N27,LEN(S_InputArk!$N27)-2),Table_Questions[],2,FALSE)</f>
        <v>N/A - Procesunderstøttet - Organisationens kontekst</v>
      </c>
    </row>
    <row r="28" spans="1:16" ht="15.75" x14ac:dyDescent="0.25">
      <c r="B28" s="157" t="s">
        <v>175</v>
      </c>
      <c r="C28" s="151"/>
      <c r="D28" s="151"/>
      <c r="E28" s="151"/>
      <c r="F28" s="151"/>
      <c r="G28" s="155"/>
      <c r="H28" s="109"/>
      <c r="I28" s="125"/>
      <c r="J28" s="106"/>
      <c r="K28" s="106"/>
      <c r="L28" s="106"/>
      <c r="N28" s="107" t="str">
        <f t="shared" si="0"/>
        <v>1.e4</v>
      </c>
      <c r="O28" s="106" t="s">
        <v>123</v>
      </c>
      <c r="P28" s="108" t="str">
        <f>VLOOKUP(LEFT(RIGHT(S_InputArk!$N28,2),1),Table_Kategorisering[],2,FALSE)&amp;" - "&amp;VLOOKUP(VALUE(RIGHT(S_InputArk!$N28,1)),Table_Modenhedsskala[],2,FALSE)&amp;" - "&amp;VLOOKUP(LEFT(S_InputArk!$N28,LEN(S_InputArk!$N28)-2),Table_Questions[],2,FALSE)</f>
        <v>N/A - Styret og målbar - Organisationens kontekst</v>
      </c>
    </row>
    <row r="29" spans="1:16" ht="15.75" x14ac:dyDescent="0.25">
      <c r="A29" s="149"/>
      <c r="B29" s="157" t="str">
        <f>"- Nye spørgeområder optræder automatisk i tabeller, men skal manuelt inkluderes"</f>
        <v>- Nye spørgeområder optræder automatisk i tabeller, men skal manuelt inkluderes</v>
      </c>
      <c r="C29" s="151"/>
      <c r="D29" s="151"/>
      <c r="E29" s="151"/>
      <c r="F29" s="151"/>
      <c r="G29" s="155"/>
      <c r="H29" s="109"/>
      <c r="J29" s="106"/>
      <c r="K29" s="106"/>
      <c r="L29" s="106"/>
      <c r="N29" s="107" t="str">
        <f t="shared" si="0"/>
        <v>1.e5</v>
      </c>
      <c r="O29" s="106" t="s">
        <v>123</v>
      </c>
      <c r="P29" s="108" t="str">
        <f>VLOOKUP(LEFT(RIGHT(S_InputArk!$N29,2),1),Table_Kategorisering[],2,FALSE)&amp;" - "&amp;VLOOKUP(VALUE(RIGHT(S_InputArk!$N29,1)),Table_Modenhedsskala[],2,FALSE)&amp;" - "&amp;VLOOKUP(LEFT(S_InputArk!$N29,LEN(S_InputArk!$N29)-2),Table_Questions[],2,FALSE)</f>
        <v>N/A - Optimeret - Organisationens kontekst</v>
      </c>
    </row>
    <row r="30" spans="1:16" ht="15.75" x14ac:dyDescent="0.25">
      <c r="A30" s="149"/>
      <c r="B30" s="157" t="s">
        <v>172</v>
      </c>
      <c r="C30" s="151"/>
      <c r="D30" s="151"/>
      <c r="E30" s="151"/>
      <c r="F30" s="151"/>
      <c r="G30" s="159"/>
      <c r="H30" s="109"/>
      <c r="J30" s="106"/>
      <c r="K30" s="106"/>
      <c r="L30" s="106"/>
      <c r="N30" s="107" t="str">
        <f t="shared" si="0"/>
        <v>1.f1</v>
      </c>
      <c r="O30" s="106" t="s">
        <v>123</v>
      </c>
      <c r="P30" s="108" t="str">
        <f>VLOOKUP(LEFT(RIGHT(S_InputArk!$N30,2),1),Table_Kategorisering[],2,FALSE)&amp;" - "&amp;VLOOKUP(VALUE(RIGHT(S_InputArk!$N30,1)),Table_Modenhedsskala[],2,FALSE)&amp;" - "&amp;VLOOKUP(LEFT(S_InputArk!$N30,LEN(S_InputArk!$N30)-2),Table_Questions[],2,FALSE)</f>
        <v>N/A - Ad-hoc - Organisationens kontekst</v>
      </c>
    </row>
    <row r="31" spans="1:16" ht="15.75" x14ac:dyDescent="0.25">
      <c r="A31" s="149"/>
      <c r="B31" s="157" t="str">
        <f>"- Nye spørgeområder tilføjes kun i bunden af spørgerammen. Ønsker du at tilføje et nyt område et"</f>
        <v>- Nye spørgeområder tilføjes kun i bunden af spørgerammen. Ønsker du at tilføje et nyt område et</v>
      </c>
      <c r="C31" s="151"/>
      <c r="D31" s="151"/>
      <c r="E31" s="151"/>
      <c r="F31" s="151"/>
      <c r="G31" s="159"/>
      <c r="H31" s="109"/>
      <c r="I31" s="126"/>
      <c r="J31" s="106"/>
      <c r="K31" s="106"/>
      <c r="L31" s="106"/>
      <c r="N31" s="107" t="str">
        <f t="shared" si="0"/>
        <v>1.f2</v>
      </c>
      <c r="O31" s="106" t="s">
        <v>123</v>
      </c>
      <c r="P31" s="108" t="str">
        <f>VLOOKUP(LEFT(RIGHT(S_InputArk!$N31,2),1),Table_Kategorisering[],2,FALSE)&amp;" - "&amp;VLOOKUP(VALUE(RIGHT(S_InputArk!$N31,1)),Table_Modenhedsskala[],2,FALSE)&amp;" - "&amp;VLOOKUP(LEFT(S_InputArk!$N31,LEN(S_InputArk!$N31)-2),Table_Questions[],2,FALSE)</f>
        <v>N/A - Gentaget - Organisationens kontekst</v>
      </c>
    </row>
    <row r="32" spans="1:16" ht="15.75" x14ac:dyDescent="0.25">
      <c r="A32" s="149"/>
      <c r="B32" s="157" t="s">
        <v>107</v>
      </c>
      <c r="C32" s="151"/>
      <c r="D32" s="151"/>
      <c r="E32" s="151"/>
      <c r="F32" s="151"/>
      <c r="G32" s="159"/>
      <c r="H32" s="109"/>
      <c r="J32" s="106"/>
      <c r="K32" s="106"/>
      <c r="L32" s="106"/>
      <c r="N32" s="107" t="str">
        <f t="shared" si="0"/>
        <v>1.f3</v>
      </c>
      <c r="O32" s="106" t="s">
        <v>123</v>
      </c>
      <c r="P32" s="108" t="str">
        <f>VLOOKUP(LEFT(RIGHT(S_InputArk!$N32,2),1),Table_Kategorisering[],2,FALSE)&amp;" - "&amp;VLOOKUP(VALUE(RIGHT(S_InputArk!$N32,1)),Table_Modenhedsskala[],2,FALSE)&amp;" - "&amp;VLOOKUP(LEFT(S_InputArk!$N32,LEN(S_InputArk!$N32)-2),Table_Questions[],2,FALSE)</f>
        <v>N/A - Procesunderstøttet - Organisationens kontekst</v>
      </c>
    </row>
    <row r="33" spans="1:16" x14ac:dyDescent="0.25">
      <c r="A33" s="149"/>
      <c r="B33" s="160"/>
      <c r="C33" s="151"/>
      <c r="D33" s="151"/>
      <c r="E33" s="151"/>
      <c r="F33" s="151"/>
      <c r="G33" s="155"/>
      <c r="H33" s="109"/>
      <c r="J33" s="106"/>
      <c r="K33" s="106"/>
      <c r="L33" s="106"/>
      <c r="N33" s="107" t="str">
        <f t="shared" si="0"/>
        <v>1.f4</v>
      </c>
      <c r="O33" s="106" t="s">
        <v>123</v>
      </c>
      <c r="P33" s="108" t="str">
        <f>VLOOKUP(LEFT(RIGHT(S_InputArk!$N33,2),1),Table_Kategorisering[],2,FALSE)&amp;" - "&amp;VLOOKUP(VALUE(RIGHT(S_InputArk!$N33,1)),Table_Modenhedsskala[],2,FALSE)&amp;" - "&amp;VLOOKUP(LEFT(S_InputArk!$N33,LEN(S_InputArk!$N33)-2),Table_Questions[],2,FALSE)</f>
        <v>N/A - Styret og målbar - Organisationens kontekst</v>
      </c>
    </row>
    <row r="34" spans="1:16" ht="15.75" x14ac:dyDescent="0.25">
      <c r="A34" s="161" t="s">
        <v>102</v>
      </c>
      <c r="B34" s="162" t="s">
        <v>108</v>
      </c>
      <c r="C34" s="151"/>
      <c r="D34" s="151"/>
      <c r="E34" s="151"/>
      <c r="F34" s="151"/>
      <c r="G34" s="155"/>
      <c r="H34" s="109"/>
      <c r="J34" s="106"/>
      <c r="K34" s="106"/>
      <c r="L34" s="106"/>
      <c r="N34" s="107" t="str">
        <f t="shared" si="0"/>
        <v>1.f5</v>
      </c>
      <c r="O34" s="106" t="s">
        <v>123</v>
      </c>
      <c r="P34" s="108" t="str">
        <f>VLOOKUP(LEFT(RIGHT(S_InputArk!$N34,2),1),Table_Kategorisering[],2,FALSE)&amp;" - "&amp;VLOOKUP(VALUE(RIGHT(S_InputArk!$N34,1)),Table_Modenhedsskala[],2,FALSE)&amp;" - "&amp;VLOOKUP(LEFT(S_InputArk!$N34,LEN(S_InputArk!$N34)-2),Table_Questions[],2,FALSE)</f>
        <v>N/A - Optimeret - Organisationens kontekst</v>
      </c>
    </row>
    <row r="35" spans="1:16" ht="15.75" x14ac:dyDescent="0.25">
      <c r="A35" s="149"/>
      <c r="B35" s="154" t="str">
        <f>"- Der bør ikke slettes spørgeområder i filen. Det foretages dog ved at slette og flytte data i tabellerne samt skjule relevante rækker."</f>
        <v>- Der bør ikke slettes spørgeområder i filen. Det foretages dog ved at slette og flytte data i tabellerne samt skjule relevante rækker.</v>
      </c>
      <c r="J35" s="106"/>
      <c r="K35" s="106"/>
      <c r="L35" s="106"/>
      <c r="N35" s="107" t="str">
        <f t="shared" si="0"/>
        <v>2.a1</v>
      </c>
      <c r="O35" s="98" t="s">
        <v>215</v>
      </c>
      <c r="P35" s="108" t="str">
        <f>VLOOKUP(LEFT(RIGHT(S_InputArk!$N35,2),1),Table_Kategorisering[],2,FALSE)&amp;" - "&amp;VLOOKUP(VALUE(RIGHT(S_InputArk!$N35,1)),Table_Modenhedsskala[],2,FALSE)&amp;" - "&amp;VLOOKUP(LEFT(S_InputArk!$N35,LEN(S_InputArk!$N35)-2),Table_Questions[],2,FALSE)</f>
        <v>Kontekst (4.1) - Ad-hoc - Lederskab</v>
      </c>
    </row>
    <row r="36" spans="1:16" x14ac:dyDescent="0.25">
      <c r="A36" s="141"/>
      <c r="J36" s="106"/>
      <c r="K36" s="106"/>
      <c r="L36" s="106"/>
      <c r="N36" s="107" t="str">
        <f t="shared" si="0"/>
        <v>2.a2</v>
      </c>
      <c r="O36" s="98" t="s">
        <v>5</v>
      </c>
      <c r="P36" s="108" t="str">
        <f>VLOOKUP(LEFT(RIGHT(S_InputArk!$N36,2),1),Table_Kategorisering[],2,FALSE)&amp;" - "&amp;VLOOKUP(VALUE(RIGHT(S_InputArk!$N36,1)),Table_Modenhedsskala[],2,FALSE)&amp;" - "&amp;VLOOKUP(LEFT(S_InputArk!$N36,LEN(S_InputArk!$N36)-2),Table_Questions[],2,FALSE)</f>
        <v>Kontekst (4.1) - Gentaget - Lederskab</v>
      </c>
    </row>
    <row r="37" spans="1:16" ht="15.75" x14ac:dyDescent="0.25">
      <c r="A37" s="143"/>
      <c r="J37" s="106"/>
      <c r="K37" s="106"/>
      <c r="L37" s="106"/>
      <c r="N37" s="107" t="str">
        <f t="shared" si="0"/>
        <v>2.a3</v>
      </c>
      <c r="O37" s="98" t="s">
        <v>6</v>
      </c>
      <c r="P37" s="108" t="str">
        <f>VLOOKUP(LEFT(RIGHT(S_InputArk!$N37,2),1),Table_Kategorisering[],2,FALSE)&amp;" - "&amp;VLOOKUP(VALUE(RIGHT(S_InputArk!$N37,1)),Table_Modenhedsskala[],2,FALSE)&amp;" - "&amp;VLOOKUP(LEFT(S_InputArk!$N37,LEN(S_InputArk!$N37)-2),Table_Questions[],2,FALSE)</f>
        <v>Kontekst (4.1) - Procesunderstøttet - Lederskab</v>
      </c>
    </row>
    <row r="38" spans="1:16" x14ac:dyDescent="0.25">
      <c r="A38" s="144"/>
      <c r="H38" s="109"/>
      <c r="J38" s="106"/>
      <c r="K38" s="106"/>
      <c r="L38" s="106"/>
      <c r="N38" s="107" t="str">
        <f t="shared" si="0"/>
        <v>2.a4</v>
      </c>
      <c r="O38" s="98" t="s">
        <v>7</v>
      </c>
      <c r="P38" s="108" t="str">
        <f>VLOOKUP(LEFT(RIGHT(S_InputArk!$N38,2),1),Table_Kategorisering[],2,FALSE)&amp;" - "&amp;VLOOKUP(VALUE(RIGHT(S_InputArk!$N38,1)),Table_Modenhedsskala[],2,FALSE)&amp;" - "&amp;VLOOKUP(LEFT(S_InputArk!$N38,LEN(S_InputArk!$N38)-2),Table_Questions[],2,FALSE)</f>
        <v>Kontekst (4.1) - Styret og målbar - Lederskab</v>
      </c>
    </row>
    <row r="39" spans="1:16" x14ac:dyDescent="0.25">
      <c r="A39" s="144"/>
      <c r="B39" s="144"/>
      <c r="H39" s="109"/>
      <c r="J39" s="106"/>
      <c r="K39" s="106"/>
      <c r="L39" s="106"/>
      <c r="N39" s="107" t="str">
        <f t="shared" si="0"/>
        <v>2.a5</v>
      </c>
      <c r="O39" s="98" t="s">
        <v>14</v>
      </c>
      <c r="P39" s="108" t="str">
        <f>VLOOKUP(LEFT(RIGHT(S_InputArk!$N39,2),1),Table_Kategorisering[],2,FALSE)&amp;" - "&amp;VLOOKUP(VALUE(RIGHT(S_InputArk!$N39,1)),Table_Modenhedsskala[],2,FALSE)&amp;" - "&amp;VLOOKUP(LEFT(S_InputArk!$N39,LEN(S_InputArk!$N39)-2),Table_Questions[],2,FALSE)</f>
        <v>Kontekst (4.1) - Optimeret - Lederskab</v>
      </c>
    </row>
    <row r="40" spans="1:16" ht="15.75" x14ac:dyDescent="0.25">
      <c r="A40" s="143"/>
      <c r="B40" s="140"/>
      <c r="H40" s="109"/>
      <c r="J40" s="106"/>
      <c r="K40" s="106"/>
      <c r="L40" s="106"/>
      <c r="N40" s="107" t="str">
        <f t="shared" si="0"/>
        <v>2.b1</v>
      </c>
      <c r="O40" s="98" t="s">
        <v>215</v>
      </c>
      <c r="P40" s="108" t="str">
        <f>VLOOKUP(LEFT(RIGHT(S_InputArk!$N40,2),1),Table_Kategorisering[],2,FALSE)&amp;" - "&amp;VLOOKUP(VALUE(RIGHT(S_InputArk!$N40,1)),Table_Modenhedsskala[],2,FALSE)&amp;" - "&amp;VLOOKUP(LEFT(S_InputArk!$N40,LEN(S_InputArk!$N40)-2),Table_Questions[],2,FALSE)</f>
        <v>Behov og forventninger (4.2) - Ad-hoc - Lederskab</v>
      </c>
    </row>
    <row r="41" spans="1:16" ht="15.75" x14ac:dyDescent="0.25">
      <c r="A41" s="144"/>
      <c r="B41" s="142"/>
      <c r="H41" s="109"/>
      <c r="J41" s="106"/>
      <c r="K41" s="106"/>
      <c r="L41" s="106"/>
      <c r="N41" s="107" t="str">
        <f t="shared" si="0"/>
        <v>2.b2</v>
      </c>
      <c r="O41" s="98" t="s">
        <v>5</v>
      </c>
      <c r="P41" s="108" t="str">
        <f>VLOOKUP(LEFT(RIGHT(S_InputArk!$N41,2),1),Table_Kategorisering[],2,FALSE)&amp;" - "&amp;VLOOKUP(VALUE(RIGHT(S_InputArk!$N41,1)),Table_Modenhedsskala[],2,FALSE)&amp;" - "&amp;VLOOKUP(LEFT(S_InputArk!$N41,LEN(S_InputArk!$N41)-2),Table_Questions[],2,FALSE)</f>
        <v>Behov og forventninger (4.2) - Gentaget - Lederskab</v>
      </c>
    </row>
    <row r="42" spans="1:16" ht="15.75" x14ac:dyDescent="0.25">
      <c r="A42" s="144"/>
      <c r="B42" s="142"/>
      <c r="H42" s="109"/>
      <c r="J42" s="106"/>
      <c r="K42" s="106"/>
      <c r="L42" s="106"/>
      <c r="N42" s="107" t="str">
        <f t="shared" si="0"/>
        <v>2.b3</v>
      </c>
      <c r="O42" s="98" t="s">
        <v>6</v>
      </c>
      <c r="P42" s="108" t="str">
        <f>VLOOKUP(LEFT(RIGHT(S_InputArk!$N42,2),1),Table_Kategorisering[],2,FALSE)&amp;" - "&amp;VLOOKUP(VALUE(RIGHT(S_InputArk!$N42,1)),Table_Modenhedsskala[],2,FALSE)&amp;" - "&amp;VLOOKUP(LEFT(S_InputArk!$N42,LEN(S_InputArk!$N42)-2),Table_Questions[],2,FALSE)</f>
        <v>Behov og forventninger (4.2) - Procesunderstøttet - Lederskab</v>
      </c>
    </row>
    <row r="43" spans="1:16" ht="15.75" x14ac:dyDescent="0.25">
      <c r="A43" s="145"/>
      <c r="B43" s="142"/>
      <c r="H43" s="109"/>
      <c r="J43" s="106"/>
      <c r="K43" s="106"/>
      <c r="L43" s="106"/>
      <c r="N43" s="107" t="str">
        <f t="shared" si="0"/>
        <v>2.b4</v>
      </c>
      <c r="O43" s="98" t="s">
        <v>7</v>
      </c>
      <c r="P43" s="108" t="str">
        <f>VLOOKUP(LEFT(RIGHT(S_InputArk!$N43,2),1),Table_Kategorisering[],2,FALSE)&amp;" - "&amp;VLOOKUP(VALUE(RIGHT(S_InputArk!$N43,1)),Table_Modenhedsskala[],2,FALSE)&amp;" - "&amp;VLOOKUP(LEFT(S_InputArk!$N43,LEN(S_InputArk!$N43)-2),Table_Questions[],2,FALSE)</f>
        <v>Behov og forventninger (4.2) - Styret og målbar - Lederskab</v>
      </c>
    </row>
    <row r="44" spans="1:16" ht="15.75" x14ac:dyDescent="0.25">
      <c r="A44" s="145"/>
      <c r="B44" s="142"/>
      <c r="H44" s="109"/>
      <c r="J44" s="106"/>
      <c r="K44" s="106"/>
      <c r="L44" s="106"/>
      <c r="N44" s="107" t="str">
        <f t="shared" si="0"/>
        <v>2.b5</v>
      </c>
      <c r="O44" s="98" t="s">
        <v>14</v>
      </c>
      <c r="P44" s="108" t="str">
        <f>VLOOKUP(LEFT(RIGHT(S_InputArk!$N44,2),1),Table_Kategorisering[],2,FALSE)&amp;" - "&amp;VLOOKUP(VALUE(RIGHT(S_InputArk!$N44,1)),Table_Modenhedsskala[],2,FALSE)&amp;" - "&amp;VLOOKUP(LEFT(S_InputArk!$N44,LEN(S_InputArk!$N44)-2),Table_Questions[],2,FALSE)</f>
        <v>Behov og forventninger (4.2) - Optimeret - Lederskab</v>
      </c>
    </row>
    <row r="45" spans="1:16" ht="15.75" x14ac:dyDescent="0.25">
      <c r="A45" s="145"/>
      <c r="B45" s="142"/>
      <c r="H45" s="109"/>
      <c r="K45" s="106"/>
      <c r="L45" s="106"/>
      <c r="N45" s="107" t="str">
        <f t="shared" si="0"/>
        <v>2.c1</v>
      </c>
      <c r="O45" s="98" t="s">
        <v>215</v>
      </c>
      <c r="P45" s="108" t="str">
        <f>VLOOKUP(LEFT(RIGHT(S_InputArk!$N45,2),1),Table_Kategorisering[],2,FALSE)&amp;" - "&amp;VLOOKUP(VALUE(RIGHT(S_InputArk!$N45,1)),Table_Modenhedsskala[],2,FALSE)&amp;" - "&amp;VLOOKUP(LEFT(S_InputArk!$N45,LEN(S_InputArk!$N45)-2),Table_Questions[],2,FALSE)</f>
        <v>Omfang (4.3) - Ad-hoc - Lederskab</v>
      </c>
    </row>
    <row r="46" spans="1:16" x14ac:dyDescent="0.25">
      <c r="K46" s="116"/>
      <c r="L46" s="110"/>
      <c r="N46" s="107" t="str">
        <f t="shared" si="0"/>
        <v>2.c2</v>
      </c>
      <c r="O46" s="98" t="s">
        <v>5</v>
      </c>
      <c r="P46" s="108" t="str">
        <f>VLOOKUP(LEFT(RIGHT(S_InputArk!$N46,2),1),Table_Kategorisering[],2,FALSE)&amp;" - "&amp;VLOOKUP(VALUE(RIGHT(S_InputArk!$N46,1)),Table_Modenhedsskala[],2,FALSE)&amp;" - "&amp;VLOOKUP(LEFT(S_InputArk!$N46,LEN(S_InputArk!$N46)-2),Table_Questions[],2,FALSE)</f>
        <v>Omfang (4.3) - Gentaget - Lederskab</v>
      </c>
    </row>
    <row r="47" spans="1:16" x14ac:dyDescent="0.25">
      <c r="J47" s="106"/>
      <c r="K47" s="110"/>
      <c r="L47" s="110"/>
      <c r="N47" s="107" t="str">
        <f t="shared" si="0"/>
        <v>2.c3</v>
      </c>
      <c r="O47" s="98" t="s">
        <v>6</v>
      </c>
      <c r="P47" s="108" t="str">
        <f>VLOOKUP(LEFT(RIGHT(S_InputArk!$N47,2),1),Table_Kategorisering[],2,FALSE)&amp;" - "&amp;VLOOKUP(VALUE(RIGHT(S_InputArk!$N47,1)),Table_Modenhedsskala[],2,FALSE)&amp;" - "&amp;VLOOKUP(LEFT(S_InputArk!$N47,LEN(S_InputArk!$N47)-2),Table_Questions[],2,FALSE)</f>
        <v>Omfang (4.3) - Procesunderstøttet - Lederskab</v>
      </c>
    </row>
    <row r="48" spans="1:16" x14ac:dyDescent="0.25">
      <c r="K48" s="110"/>
      <c r="L48" s="110"/>
      <c r="N48" s="107" t="str">
        <f t="shared" si="0"/>
        <v>2.c4</v>
      </c>
      <c r="O48" s="98" t="s">
        <v>7</v>
      </c>
      <c r="P48" s="108" t="str">
        <f>VLOOKUP(LEFT(RIGHT(S_InputArk!$N48,2),1),Table_Kategorisering[],2,FALSE)&amp;" - "&amp;VLOOKUP(VALUE(RIGHT(S_InputArk!$N48,1)),Table_Modenhedsskala[],2,FALSE)&amp;" - "&amp;VLOOKUP(LEFT(S_InputArk!$N48,LEN(S_InputArk!$N48)-2),Table_Questions[],2,FALSE)</f>
        <v>Omfang (4.3) - Styret og målbar - Lederskab</v>
      </c>
    </row>
    <row r="49" spans="8:16" x14ac:dyDescent="0.25">
      <c r="K49" s="116"/>
      <c r="L49" s="110"/>
      <c r="N49" s="107" t="str">
        <f t="shared" si="0"/>
        <v>2.c5</v>
      </c>
      <c r="O49" s="98" t="s">
        <v>14</v>
      </c>
      <c r="P49" s="108" t="str">
        <f>VLOOKUP(LEFT(RIGHT(S_InputArk!$N49,2),1),Table_Kategorisering[],2,FALSE)&amp;" - "&amp;VLOOKUP(VALUE(RIGHT(S_InputArk!$N49,1)),Table_Modenhedsskala[],2,FALSE)&amp;" - "&amp;VLOOKUP(LEFT(S_InputArk!$N49,LEN(S_InputArk!$N49)-2),Table_Questions[],2,FALSE)</f>
        <v>Omfang (4.3) - Optimeret - Lederskab</v>
      </c>
    </row>
    <row r="50" spans="8:16" x14ac:dyDescent="0.25">
      <c r="K50" s="125"/>
      <c r="L50" s="110"/>
      <c r="N50" s="107" t="str">
        <f t="shared" si="0"/>
        <v>2.d1</v>
      </c>
      <c r="O50" s="98" t="s">
        <v>123</v>
      </c>
      <c r="P50" s="108" t="str">
        <f>VLOOKUP(LEFT(RIGHT(S_InputArk!$N50,2),1),Table_Kategorisering[],2,FALSE)&amp;" - "&amp;VLOOKUP(VALUE(RIGHT(S_InputArk!$N50,1)),Table_Modenhedsskala[],2,FALSE)&amp;" - "&amp;VLOOKUP(LEFT(S_InputArk!$N50,LEN(S_InputArk!$N50)-2),Table_Questions[],2,FALSE)</f>
        <v>Ledelsessystem (4.4) - Ad-hoc - Lederskab</v>
      </c>
    </row>
    <row r="51" spans="8:16" x14ac:dyDescent="0.25">
      <c r="K51" s="116"/>
      <c r="L51" s="110"/>
      <c r="N51" s="107" t="str">
        <f t="shared" si="0"/>
        <v>2.d2</v>
      </c>
      <c r="O51" s="98" t="s">
        <v>123</v>
      </c>
      <c r="P51" s="108" t="str">
        <f>VLOOKUP(LEFT(RIGHT(S_InputArk!$N51,2),1),Table_Kategorisering[],2,FALSE)&amp;" - "&amp;VLOOKUP(VALUE(RIGHT(S_InputArk!$N51,1)),Table_Modenhedsskala[],2,FALSE)&amp;" - "&amp;VLOOKUP(LEFT(S_InputArk!$N51,LEN(S_InputArk!$N51)-2),Table_Questions[],2,FALSE)</f>
        <v>Ledelsessystem (4.4) - Gentaget - Lederskab</v>
      </c>
    </row>
    <row r="52" spans="8:16" x14ac:dyDescent="0.25">
      <c r="K52" s="116"/>
      <c r="N52" s="107" t="str">
        <f t="shared" si="0"/>
        <v>2.d3</v>
      </c>
      <c r="O52" s="98" t="s">
        <v>123</v>
      </c>
      <c r="P52" s="108" t="str">
        <f>VLOOKUP(LEFT(RIGHT(S_InputArk!$N52,2),1),Table_Kategorisering[],2,FALSE)&amp;" - "&amp;VLOOKUP(VALUE(RIGHT(S_InputArk!$N52,1)),Table_Modenhedsskala[],2,FALSE)&amp;" - "&amp;VLOOKUP(LEFT(S_InputArk!$N52,LEN(S_InputArk!$N52)-2),Table_Questions[],2,FALSE)</f>
        <v>Ledelsessystem (4.4) - Procesunderstøttet - Lederskab</v>
      </c>
    </row>
    <row r="53" spans="8:16" x14ac:dyDescent="0.25">
      <c r="K53" s="116"/>
      <c r="N53" s="107" t="str">
        <f t="shared" si="0"/>
        <v>2.d4</v>
      </c>
      <c r="O53" s="98" t="s">
        <v>123</v>
      </c>
      <c r="P53" s="108" t="str">
        <f>VLOOKUP(LEFT(RIGHT(S_InputArk!$N53,2),1),Table_Kategorisering[],2,FALSE)&amp;" - "&amp;VLOOKUP(VALUE(RIGHT(S_InputArk!$N53,1)),Table_Modenhedsskala[],2,FALSE)&amp;" - "&amp;VLOOKUP(LEFT(S_InputArk!$N53,LEN(S_InputArk!$N53)-2),Table_Questions[],2,FALSE)</f>
        <v>Ledelsessystem (4.4) - Styret og målbar - Lederskab</v>
      </c>
    </row>
    <row r="54" spans="8:16" x14ac:dyDescent="0.25">
      <c r="K54" s="116"/>
      <c r="N54" s="107" t="str">
        <f t="shared" si="0"/>
        <v>2.d5</v>
      </c>
      <c r="O54" s="98" t="s">
        <v>123</v>
      </c>
      <c r="P54" s="108" t="str">
        <f>VLOOKUP(LEFT(RIGHT(S_InputArk!$N54,2),1),Table_Kategorisering[],2,FALSE)&amp;" - "&amp;VLOOKUP(VALUE(RIGHT(S_InputArk!$N54,1)),Table_Modenhedsskala[],2,FALSE)&amp;" - "&amp;VLOOKUP(LEFT(S_InputArk!$N54,LEN(S_InputArk!$N54)-2),Table_Questions[],2,FALSE)</f>
        <v>Ledelsessystem (4.4) - Optimeret - Lederskab</v>
      </c>
    </row>
    <row r="55" spans="8:16" x14ac:dyDescent="0.25">
      <c r="K55" s="116"/>
      <c r="N55" s="107" t="str">
        <f t="shared" si="0"/>
        <v>2.e1</v>
      </c>
      <c r="O55" s="98" t="s">
        <v>123</v>
      </c>
      <c r="P55" s="108" t="str">
        <f>VLOOKUP(LEFT(RIGHT(S_InputArk!$N55,2),1),Table_Kategorisering[],2,FALSE)&amp;" - "&amp;VLOOKUP(VALUE(RIGHT(S_InputArk!$N55,1)),Table_Modenhedsskala[],2,FALSE)&amp;" - "&amp;VLOOKUP(LEFT(S_InputArk!$N55,LEN(S_InputArk!$N55)-2),Table_Questions[],2,FALSE)</f>
        <v>N/A - Ad-hoc - Lederskab</v>
      </c>
    </row>
    <row r="56" spans="8:16" x14ac:dyDescent="0.25">
      <c r="H56" s="110"/>
      <c r="I56" s="110"/>
      <c r="K56" s="116"/>
      <c r="N56" s="107" t="str">
        <f t="shared" si="0"/>
        <v>2.e2</v>
      </c>
      <c r="O56" s="98" t="s">
        <v>123</v>
      </c>
      <c r="P56" s="108" t="str">
        <f>VLOOKUP(LEFT(RIGHT(S_InputArk!$N56,2),1),Table_Kategorisering[],2,FALSE)&amp;" - "&amp;VLOOKUP(VALUE(RIGHT(S_InputArk!$N56,1)),Table_Modenhedsskala[],2,FALSE)&amp;" - "&amp;VLOOKUP(LEFT(S_InputArk!$N56,LEN(S_InputArk!$N56)-2),Table_Questions[],2,FALSE)</f>
        <v>N/A - Gentaget - Lederskab</v>
      </c>
    </row>
    <row r="57" spans="8:16" x14ac:dyDescent="0.25">
      <c r="H57" s="110"/>
      <c r="I57" s="127"/>
      <c r="K57" s="116"/>
      <c r="N57" s="107" t="str">
        <f t="shared" si="0"/>
        <v>2.e3</v>
      </c>
      <c r="O57" s="98" t="s">
        <v>123</v>
      </c>
      <c r="P57" s="108" t="str">
        <f>VLOOKUP(LEFT(RIGHT(S_InputArk!$N57,2),1),Table_Kategorisering[],2,FALSE)&amp;" - "&amp;VLOOKUP(VALUE(RIGHT(S_InputArk!$N57,1)),Table_Modenhedsskala[],2,FALSE)&amp;" - "&amp;VLOOKUP(LEFT(S_InputArk!$N57,LEN(S_InputArk!$N57)-2),Table_Questions[],2,FALSE)</f>
        <v>N/A - Procesunderstøttet - Lederskab</v>
      </c>
    </row>
    <row r="58" spans="8:16" x14ac:dyDescent="0.25">
      <c r="H58" s="110"/>
      <c r="I58" s="128"/>
      <c r="K58" s="116"/>
      <c r="N58" s="107" t="str">
        <f t="shared" si="0"/>
        <v>2.e4</v>
      </c>
      <c r="O58" s="98" t="s">
        <v>123</v>
      </c>
      <c r="P58" s="108" t="str">
        <f>VLOOKUP(LEFT(RIGHT(S_InputArk!$N58,2),1),Table_Kategorisering[],2,FALSE)&amp;" - "&amp;VLOOKUP(VALUE(RIGHT(S_InputArk!$N58,1)),Table_Modenhedsskala[],2,FALSE)&amp;" - "&amp;VLOOKUP(LEFT(S_InputArk!$N58,LEN(S_InputArk!$N58)-2),Table_Questions[],2,FALSE)</f>
        <v>N/A - Styret og målbar - Lederskab</v>
      </c>
    </row>
    <row r="59" spans="8:16" x14ac:dyDescent="0.25">
      <c r="H59" s="110"/>
      <c r="I59" s="127"/>
      <c r="K59" s="116"/>
      <c r="N59" s="107" t="str">
        <f t="shared" si="0"/>
        <v>2.e5</v>
      </c>
      <c r="O59" s="98" t="s">
        <v>123</v>
      </c>
      <c r="P59" s="108" t="str">
        <f>VLOOKUP(LEFT(RIGHT(S_InputArk!$N59,2),1),Table_Kategorisering[],2,FALSE)&amp;" - "&amp;VLOOKUP(VALUE(RIGHT(S_InputArk!$N59,1)),Table_Modenhedsskala[],2,FALSE)&amp;" - "&amp;VLOOKUP(LEFT(S_InputArk!$N59,LEN(S_InputArk!$N59)-2),Table_Questions[],2,FALSE)</f>
        <v>N/A - Optimeret - Lederskab</v>
      </c>
    </row>
    <row r="60" spans="8:16" x14ac:dyDescent="0.25">
      <c r="H60" s="110"/>
      <c r="I60" s="127"/>
      <c r="K60" s="116"/>
      <c r="N60" s="107" t="str">
        <f t="shared" si="0"/>
        <v>2.f1</v>
      </c>
      <c r="O60" s="98" t="s">
        <v>123</v>
      </c>
      <c r="P60" s="108" t="str">
        <f>VLOOKUP(LEFT(RIGHT(S_InputArk!$N60,2),1),Table_Kategorisering[],2,FALSE)&amp;" - "&amp;VLOOKUP(VALUE(RIGHT(S_InputArk!$N60,1)),Table_Modenhedsskala[],2,FALSE)&amp;" - "&amp;VLOOKUP(LEFT(S_InputArk!$N60,LEN(S_InputArk!$N60)-2),Table_Questions[],2,FALSE)</f>
        <v>N/A - Ad-hoc - Lederskab</v>
      </c>
    </row>
    <row r="61" spans="8:16" x14ac:dyDescent="0.25">
      <c r="H61" s="110"/>
      <c r="I61" s="110"/>
      <c r="K61" s="116"/>
      <c r="N61" s="107" t="str">
        <f t="shared" si="0"/>
        <v>2.f2</v>
      </c>
      <c r="O61" s="98" t="s">
        <v>123</v>
      </c>
      <c r="P61" s="108" t="str">
        <f>VLOOKUP(LEFT(RIGHT(S_InputArk!$N61,2),1),Table_Kategorisering[],2,FALSE)&amp;" - "&amp;VLOOKUP(VALUE(RIGHT(S_InputArk!$N61,1)),Table_Modenhedsskala[],2,FALSE)&amp;" - "&amp;VLOOKUP(LEFT(S_InputArk!$N61,LEN(S_InputArk!$N61)-2),Table_Questions[],2,FALSE)</f>
        <v>N/A - Gentaget - Lederskab</v>
      </c>
    </row>
    <row r="62" spans="8:16" x14ac:dyDescent="0.25">
      <c r="I62" s="110"/>
      <c r="N62" s="107" t="str">
        <f t="shared" si="0"/>
        <v>2.f3</v>
      </c>
      <c r="O62" s="98" t="s">
        <v>123</v>
      </c>
      <c r="P62" s="108" t="str">
        <f>VLOOKUP(LEFT(RIGHT(S_InputArk!$N62,2),1),Table_Kategorisering[],2,FALSE)&amp;" - "&amp;VLOOKUP(VALUE(RIGHT(S_InputArk!$N62,1)),Table_Modenhedsskala[],2,FALSE)&amp;" - "&amp;VLOOKUP(LEFT(S_InputArk!$N62,LEN(S_InputArk!$N62)-2),Table_Questions[],2,FALSE)</f>
        <v>N/A - Procesunderstøttet - Lederskab</v>
      </c>
    </row>
    <row r="63" spans="8:16" x14ac:dyDescent="0.25">
      <c r="I63" s="110"/>
      <c r="N63" s="107" t="str">
        <f t="shared" si="0"/>
        <v>2.f4</v>
      </c>
      <c r="O63" s="98" t="s">
        <v>123</v>
      </c>
      <c r="P63" s="108" t="str">
        <f>VLOOKUP(LEFT(RIGHT(S_InputArk!$N63,2),1),Table_Kategorisering[],2,FALSE)&amp;" - "&amp;VLOOKUP(VALUE(RIGHT(S_InputArk!$N63,1)),Table_Modenhedsskala[],2,FALSE)&amp;" - "&amp;VLOOKUP(LEFT(S_InputArk!$N63,LEN(S_InputArk!$N63)-2),Table_Questions[],2,FALSE)</f>
        <v>N/A - Styret og målbar - Lederskab</v>
      </c>
    </row>
    <row r="64" spans="8:16" x14ac:dyDescent="0.25">
      <c r="I64" s="110"/>
      <c r="N64" s="107" t="str">
        <f t="shared" si="0"/>
        <v>2.f5</v>
      </c>
      <c r="O64" s="98" t="s">
        <v>123</v>
      </c>
      <c r="P64" s="108" t="str">
        <f>VLOOKUP(LEFT(RIGHT(S_InputArk!$N64,2),1),Table_Kategorisering[],2,FALSE)&amp;" - "&amp;VLOOKUP(VALUE(RIGHT(S_InputArk!$N64,1)),Table_Modenhedsskala[],2,FALSE)&amp;" - "&amp;VLOOKUP(LEFT(S_InputArk!$N64,LEN(S_InputArk!$N64)-2),Table_Questions[],2,FALSE)</f>
        <v>N/A - Optimeret - Lederskab</v>
      </c>
    </row>
    <row r="65" spans="9:16" x14ac:dyDescent="0.25">
      <c r="I65" s="110"/>
      <c r="K65" s="116"/>
      <c r="N65" s="107" t="str">
        <f t="shared" si="0"/>
        <v>3.a1</v>
      </c>
      <c r="O65" s="98" t="s">
        <v>215</v>
      </c>
      <c r="P65" s="108" t="str">
        <f>VLOOKUP(LEFT(RIGHT(S_InputArk!$N65,2),1),Table_Kategorisering[],2,FALSE)&amp;" - "&amp;VLOOKUP(VALUE(RIGHT(S_InputArk!$N65,1)),Table_Modenhedsskala[],2,FALSE)&amp;" - "&amp;VLOOKUP(LEFT(S_InputArk!$N65,LEN(S_InputArk!$N65)-2),Table_Questions[],2,FALSE)</f>
        <v>Kontekst (4.1) - Ad-hoc - Planlægning</v>
      </c>
    </row>
    <row r="66" spans="9:16" x14ac:dyDescent="0.25">
      <c r="I66" s="129"/>
      <c r="K66" s="116"/>
      <c r="N66" s="107" t="str">
        <f t="shared" si="0"/>
        <v>3.a2</v>
      </c>
      <c r="O66" s="98" t="s">
        <v>5</v>
      </c>
      <c r="P66" s="108" t="str">
        <f>VLOOKUP(LEFT(RIGHT(S_InputArk!$N66,2),1),Table_Kategorisering[],2,FALSE)&amp;" - "&amp;VLOOKUP(VALUE(RIGHT(S_InputArk!$N66,1)),Table_Modenhedsskala[],2,FALSE)&amp;" - "&amp;VLOOKUP(LEFT(S_InputArk!$N66,LEN(S_InputArk!$N66)-2),Table_Questions[],2,FALSE)</f>
        <v>Kontekst (4.1) - Gentaget - Planlægning</v>
      </c>
    </row>
    <row r="67" spans="9:16" x14ac:dyDescent="0.25">
      <c r="I67" s="110"/>
      <c r="K67" s="125"/>
      <c r="N67" s="107" t="str">
        <f t="shared" si="0"/>
        <v>3.a3</v>
      </c>
      <c r="O67" s="98" t="s">
        <v>6</v>
      </c>
      <c r="P67" s="108" t="str">
        <f>VLOOKUP(LEFT(RIGHT(S_InputArk!$N67,2),1),Table_Kategorisering[],2,FALSE)&amp;" - "&amp;VLOOKUP(VALUE(RIGHT(S_InputArk!$N67,1)),Table_Modenhedsskala[],2,FALSE)&amp;" - "&amp;VLOOKUP(LEFT(S_InputArk!$N67,LEN(S_InputArk!$N67)-2),Table_Questions[],2,FALSE)</f>
        <v>Kontekst (4.1) - Procesunderstøttet - Planlægning</v>
      </c>
    </row>
    <row r="68" spans="9:16" x14ac:dyDescent="0.25">
      <c r="I68" s="110"/>
      <c r="K68" s="116"/>
      <c r="N68" s="107" t="str">
        <f t="shared" si="0"/>
        <v>3.a4</v>
      </c>
      <c r="O68" s="98" t="s">
        <v>7</v>
      </c>
      <c r="P68" s="108" t="str">
        <f>VLOOKUP(LEFT(RIGHT(S_InputArk!$N68,2),1),Table_Kategorisering[],2,FALSE)&amp;" - "&amp;VLOOKUP(VALUE(RIGHT(S_InputArk!$N68,1)),Table_Modenhedsskala[],2,FALSE)&amp;" - "&amp;VLOOKUP(LEFT(S_InputArk!$N68,LEN(S_InputArk!$N68)-2),Table_Questions[],2,FALSE)</f>
        <v>Kontekst (4.1) - Styret og målbar - Planlægning</v>
      </c>
    </row>
    <row r="69" spans="9:16" x14ac:dyDescent="0.25">
      <c r="I69" s="110"/>
      <c r="K69" s="116"/>
      <c r="N69" s="107" t="str">
        <f t="shared" ref="N69:N132" si="1">ROUNDUP(ROW($N65)/30,0)&amp;"."&amp;
CHOOSE(IF(
MOD(ROUNDUP(ROW($N65)/5,0),6)=0,6,MOD(ROUNDUP(ROW($N65)/5,0),6)),"a","b","c","d","e","f")&amp;
IF(MOD(ROW($N65),5)=0,5,MOD(ROW($N65),5))</f>
        <v>3.a5</v>
      </c>
      <c r="O69" s="98" t="s">
        <v>14</v>
      </c>
      <c r="P69" s="108" t="str">
        <f>VLOOKUP(LEFT(RIGHT(S_InputArk!$N69,2),1),Table_Kategorisering[],2,FALSE)&amp;" - "&amp;VLOOKUP(VALUE(RIGHT(S_InputArk!$N69,1)),Table_Modenhedsskala[],2,FALSE)&amp;" - "&amp;VLOOKUP(LEFT(S_InputArk!$N69,LEN(S_InputArk!$N69)-2),Table_Questions[],2,FALSE)</f>
        <v>Kontekst (4.1) - Optimeret - Planlægning</v>
      </c>
    </row>
    <row r="70" spans="9:16" x14ac:dyDescent="0.25">
      <c r="I70" s="110"/>
      <c r="N70" s="107" t="str">
        <f t="shared" si="1"/>
        <v>3.b1</v>
      </c>
      <c r="O70" s="98" t="s">
        <v>215</v>
      </c>
      <c r="P70" s="108" t="str">
        <f>VLOOKUP(LEFT(RIGHT(S_InputArk!$N70,2),1),Table_Kategorisering[],2,FALSE)&amp;" - "&amp;VLOOKUP(VALUE(RIGHT(S_InputArk!$N70,1)),Table_Modenhedsskala[],2,FALSE)&amp;" - "&amp;VLOOKUP(LEFT(S_InputArk!$N70,LEN(S_InputArk!$N70)-2),Table_Questions[],2,FALSE)</f>
        <v>Behov og forventninger (4.2) - Ad-hoc - Planlægning</v>
      </c>
    </row>
    <row r="71" spans="9:16" x14ac:dyDescent="0.25">
      <c r="I71" s="110"/>
      <c r="N71" s="107" t="str">
        <f t="shared" si="1"/>
        <v>3.b2</v>
      </c>
      <c r="O71" s="98" t="s">
        <v>5</v>
      </c>
      <c r="P71" s="108" t="str">
        <f>VLOOKUP(LEFT(RIGHT(S_InputArk!$N71,2),1),Table_Kategorisering[],2,FALSE)&amp;" - "&amp;VLOOKUP(VALUE(RIGHT(S_InputArk!$N71,1)),Table_Modenhedsskala[],2,FALSE)&amp;" - "&amp;VLOOKUP(LEFT(S_InputArk!$N71,LEN(S_InputArk!$N71)-2),Table_Questions[],2,FALSE)</f>
        <v>Behov og forventninger (4.2) - Gentaget - Planlægning</v>
      </c>
    </row>
    <row r="72" spans="9:16" x14ac:dyDescent="0.25">
      <c r="I72" s="110"/>
      <c r="N72" s="107" t="str">
        <f t="shared" si="1"/>
        <v>3.b3</v>
      </c>
      <c r="O72" s="98" t="s">
        <v>6</v>
      </c>
      <c r="P72" s="108" t="str">
        <f>VLOOKUP(LEFT(RIGHT(S_InputArk!$N72,2),1),Table_Kategorisering[],2,FALSE)&amp;" - "&amp;VLOOKUP(VALUE(RIGHT(S_InputArk!$N72,1)),Table_Modenhedsskala[],2,FALSE)&amp;" - "&amp;VLOOKUP(LEFT(S_InputArk!$N72,LEN(S_InputArk!$N72)-2),Table_Questions[],2,FALSE)</f>
        <v>Behov og forventninger (4.2) - Procesunderstøttet - Planlægning</v>
      </c>
    </row>
    <row r="73" spans="9:16" x14ac:dyDescent="0.25">
      <c r="I73" s="110"/>
      <c r="N73" s="107" t="str">
        <f t="shared" si="1"/>
        <v>3.b4</v>
      </c>
      <c r="O73" s="98" t="s">
        <v>7</v>
      </c>
      <c r="P73" s="108" t="str">
        <f>VLOOKUP(LEFT(RIGHT(S_InputArk!$N73,2),1),Table_Kategorisering[],2,FALSE)&amp;" - "&amp;VLOOKUP(VALUE(RIGHT(S_InputArk!$N73,1)),Table_Modenhedsskala[],2,FALSE)&amp;" - "&amp;VLOOKUP(LEFT(S_InputArk!$N73,LEN(S_InputArk!$N73)-2),Table_Questions[],2,FALSE)</f>
        <v>Behov og forventninger (4.2) - Styret og målbar - Planlægning</v>
      </c>
    </row>
    <row r="74" spans="9:16" x14ac:dyDescent="0.25">
      <c r="I74" s="110"/>
      <c r="N74" s="107" t="str">
        <f t="shared" si="1"/>
        <v>3.b5</v>
      </c>
      <c r="O74" s="98" t="s">
        <v>14</v>
      </c>
      <c r="P74" s="108" t="str">
        <f>VLOOKUP(LEFT(RIGHT(S_InputArk!$N74,2),1),Table_Kategorisering[],2,FALSE)&amp;" - "&amp;VLOOKUP(VALUE(RIGHT(S_InputArk!$N74,1)),Table_Modenhedsskala[],2,FALSE)&amp;" - "&amp;VLOOKUP(LEFT(S_InputArk!$N74,LEN(S_InputArk!$N74)-2),Table_Questions[],2,FALSE)</f>
        <v>Behov og forventninger (4.2) - Optimeret - Planlægning</v>
      </c>
    </row>
    <row r="75" spans="9:16" x14ac:dyDescent="0.25">
      <c r="I75" s="110"/>
      <c r="N75" s="107" t="str">
        <f t="shared" si="1"/>
        <v>3.c1</v>
      </c>
      <c r="O75" s="98" t="s">
        <v>215</v>
      </c>
      <c r="P75" s="108" t="str">
        <f>VLOOKUP(LEFT(RIGHT(S_InputArk!$N75,2),1),Table_Kategorisering[],2,FALSE)&amp;" - "&amp;VLOOKUP(VALUE(RIGHT(S_InputArk!$N75,1)),Table_Modenhedsskala[],2,FALSE)&amp;" - "&amp;VLOOKUP(LEFT(S_InputArk!$N75,LEN(S_InputArk!$N75)-2),Table_Questions[],2,FALSE)</f>
        <v>Omfang (4.3) - Ad-hoc - Planlægning</v>
      </c>
    </row>
    <row r="76" spans="9:16" x14ac:dyDescent="0.25">
      <c r="N76" s="107" t="str">
        <f t="shared" si="1"/>
        <v>3.c2</v>
      </c>
      <c r="O76" s="98" t="s">
        <v>5</v>
      </c>
      <c r="P76" s="108" t="str">
        <f>VLOOKUP(LEFT(RIGHT(S_InputArk!$N76,2),1),Table_Kategorisering[],2,FALSE)&amp;" - "&amp;VLOOKUP(VALUE(RIGHT(S_InputArk!$N76,1)),Table_Modenhedsskala[],2,FALSE)&amp;" - "&amp;VLOOKUP(LEFT(S_InputArk!$N76,LEN(S_InputArk!$N76)-2),Table_Questions[],2,FALSE)</f>
        <v>Omfang (4.3) - Gentaget - Planlægning</v>
      </c>
    </row>
    <row r="77" spans="9:16" x14ac:dyDescent="0.25">
      <c r="N77" s="107" t="str">
        <f t="shared" si="1"/>
        <v>3.c3</v>
      </c>
      <c r="O77" s="98" t="s">
        <v>6</v>
      </c>
      <c r="P77" s="108" t="str">
        <f>VLOOKUP(LEFT(RIGHT(S_InputArk!$N77,2),1),Table_Kategorisering[],2,FALSE)&amp;" - "&amp;VLOOKUP(VALUE(RIGHT(S_InputArk!$N77,1)),Table_Modenhedsskala[],2,FALSE)&amp;" - "&amp;VLOOKUP(LEFT(S_InputArk!$N77,LEN(S_InputArk!$N77)-2),Table_Questions[],2,FALSE)</f>
        <v>Omfang (4.3) - Procesunderstøttet - Planlægning</v>
      </c>
    </row>
    <row r="78" spans="9:16" x14ac:dyDescent="0.25">
      <c r="N78" s="107" t="str">
        <f t="shared" si="1"/>
        <v>3.c4</v>
      </c>
      <c r="O78" s="98" t="s">
        <v>7</v>
      </c>
      <c r="P78" s="108" t="str">
        <f>VLOOKUP(LEFT(RIGHT(S_InputArk!$N78,2),1),Table_Kategorisering[],2,FALSE)&amp;" - "&amp;VLOOKUP(VALUE(RIGHT(S_InputArk!$N78,1)),Table_Modenhedsskala[],2,FALSE)&amp;" - "&amp;VLOOKUP(LEFT(S_InputArk!$N78,LEN(S_InputArk!$N78)-2),Table_Questions[],2,FALSE)</f>
        <v>Omfang (4.3) - Styret og målbar - Planlægning</v>
      </c>
    </row>
    <row r="79" spans="9:16" x14ac:dyDescent="0.25">
      <c r="N79" s="107" t="str">
        <f t="shared" si="1"/>
        <v>3.c5</v>
      </c>
      <c r="O79" s="98" t="s">
        <v>14</v>
      </c>
      <c r="P79" s="108" t="str">
        <f>VLOOKUP(LEFT(RIGHT(S_InputArk!$N79,2),1),Table_Kategorisering[],2,FALSE)&amp;" - "&amp;VLOOKUP(VALUE(RIGHT(S_InputArk!$N79,1)),Table_Modenhedsskala[],2,FALSE)&amp;" - "&amp;VLOOKUP(LEFT(S_InputArk!$N79,LEN(S_InputArk!$N79)-2),Table_Questions[],2,FALSE)</f>
        <v>Omfang (4.3) - Optimeret - Planlægning</v>
      </c>
    </row>
    <row r="80" spans="9:16" x14ac:dyDescent="0.25">
      <c r="N80" s="107" t="str">
        <f t="shared" si="1"/>
        <v>3.d1</v>
      </c>
      <c r="O80" s="98" t="s">
        <v>123</v>
      </c>
      <c r="P80" s="108" t="str">
        <f>VLOOKUP(LEFT(RIGHT(S_InputArk!$N80,2),1),Table_Kategorisering[],2,FALSE)&amp;" - "&amp;VLOOKUP(VALUE(RIGHT(S_InputArk!$N80,1)),Table_Modenhedsskala[],2,FALSE)&amp;" - "&amp;VLOOKUP(LEFT(S_InputArk!$N80,LEN(S_InputArk!$N80)-2),Table_Questions[],2,FALSE)</f>
        <v>Ledelsessystem (4.4) - Ad-hoc - Planlægning</v>
      </c>
    </row>
    <row r="81" spans="8:16" x14ac:dyDescent="0.25">
      <c r="N81" s="107" t="str">
        <f t="shared" si="1"/>
        <v>3.d2</v>
      </c>
      <c r="O81" s="98" t="s">
        <v>123</v>
      </c>
      <c r="P81" s="108" t="str">
        <f>VLOOKUP(LEFT(RIGHT(S_InputArk!$N81,2),1),Table_Kategorisering[],2,FALSE)&amp;" - "&amp;VLOOKUP(VALUE(RIGHT(S_InputArk!$N81,1)),Table_Modenhedsskala[],2,FALSE)&amp;" - "&amp;VLOOKUP(LEFT(S_InputArk!$N81,LEN(S_InputArk!$N81)-2),Table_Questions[],2,FALSE)</f>
        <v>Ledelsessystem (4.4) - Gentaget - Planlægning</v>
      </c>
    </row>
    <row r="82" spans="8:16" x14ac:dyDescent="0.25">
      <c r="N82" s="107" t="str">
        <f t="shared" si="1"/>
        <v>3.d3</v>
      </c>
      <c r="O82" s="98" t="s">
        <v>123</v>
      </c>
      <c r="P82" s="108" t="str">
        <f>VLOOKUP(LEFT(RIGHT(S_InputArk!$N82,2),1),Table_Kategorisering[],2,FALSE)&amp;" - "&amp;VLOOKUP(VALUE(RIGHT(S_InputArk!$N82,1)),Table_Modenhedsskala[],2,FALSE)&amp;" - "&amp;VLOOKUP(LEFT(S_InputArk!$N82,LEN(S_InputArk!$N82)-2),Table_Questions[],2,FALSE)</f>
        <v>Ledelsessystem (4.4) - Procesunderstøttet - Planlægning</v>
      </c>
    </row>
    <row r="83" spans="8:16" x14ac:dyDescent="0.25">
      <c r="N83" s="107" t="str">
        <f t="shared" si="1"/>
        <v>3.d4</v>
      </c>
      <c r="O83" s="98" t="s">
        <v>123</v>
      </c>
      <c r="P83" s="108" t="str">
        <f>VLOOKUP(LEFT(RIGHT(S_InputArk!$N83,2),1),Table_Kategorisering[],2,FALSE)&amp;" - "&amp;VLOOKUP(VALUE(RIGHT(S_InputArk!$N83,1)),Table_Modenhedsskala[],2,FALSE)&amp;" - "&amp;VLOOKUP(LEFT(S_InputArk!$N83,LEN(S_InputArk!$N83)-2),Table_Questions[],2,FALSE)</f>
        <v>Ledelsessystem (4.4) - Styret og målbar - Planlægning</v>
      </c>
    </row>
    <row r="84" spans="8:16" x14ac:dyDescent="0.25">
      <c r="N84" s="107" t="str">
        <f t="shared" si="1"/>
        <v>3.d5</v>
      </c>
      <c r="O84" s="98" t="s">
        <v>123</v>
      </c>
      <c r="P84" s="108" t="str">
        <f>VLOOKUP(LEFT(RIGHT(S_InputArk!$N84,2),1),Table_Kategorisering[],2,FALSE)&amp;" - "&amp;VLOOKUP(VALUE(RIGHT(S_InputArk!$N84,1)),Table_Modenhedsskala[],2,FALSE)&amp;" - "&amp;VLOOKUP(LEFT(S_InputArk!$N84,LEN(S_InputArk!$N84)-2),Table_Questions[],2,FALSE)</f>
        <v>Ledelsessystem (4.4) - Optimeret - Planlægning</v>
      </c>
    </row>
    <row r="85" spans="8:16" x14ac:dyDescent="0.25">
      <c r="N85" s="107" t="str">
        <f t="shared" si="1"/>
        <v>3.e1</v>
      </c>
      <c r="O85" s="98" t="s">
        <v>215</v>
      </c>
      <c r="P85" s="108" t="str">
        <f>VLOOKUP(LEFT(RIGHT(S_InputArk!$N85,2),1),Table_Kategorisering[],2,FALSE)&amp;" - "&amp;VLOOKUP(VALUE(RIGHT(S_InputArk!$N85,1)),Table_Modenhedsskala[],2,FALSE)&amp;" - "&amp;VLOOKUP(LEFT(S_InputArk!$N85,LEN(S_InputArk!$N85)-2),Table_Questions[],2,FALSE)</f>
        <v>N/A - Ad-hoc - Planlægning</v>
      </c>
    </row>
    <row r="86" spans="8:16" x14ac:dyDescent="0.25">
      <c r="N86" s="107" t="str">
        <f t="shared" si="1"/>
        <v>3.e2</v>
      </c>
      <c r="O86" s="98" t="s">
        <v>5</v>
      </c>
      <c r="P86" s="108" t="str">
        <f>VLOOKUP(LEFT(RIGHT(S_InputArk!$N86,2),1),Table_Kategorisering[],2,FALSE)&amp;" - "&amp;VLOOKUP(VALUE(RIGHT(S_InputArk!$N86,1)),Table_Modenhedsskala[],2,FALSE)&amp;" - "&amp;VLOOKUP(LEFT(S_InputArk!$N86,LEN(S_InputArk!$N86)-2),Table_Questions[],2,FALSE)</f>
        <v>N/A - Gentaget - Planlægning</v>
      </c>
    </row>
    <row r="87" spans="8:16" x14ac:dyDescent="0.25">
      <c r="H87" s="129"/>
      <c r="I87" s="130"/>
      <c r="N87" s="107" t="str">
        <f t="shared" si="1"/>
        <v>3.e3</v>
      </c>
      <c r="O87" s="98" t="s">
        <v>6</v>
      </c>
      <c r="P87" s="108" t="str">
        <f>VLOOKUP(LEFT(RIGHT(S_InputArk!$N87,2),1),Table_Kategorisering[],2,FALSE)&amp;" - "&amp;VLOOKUP(VALUE(RIGHT(S_InputArk!$N87,1)),Table_Modenhedsskala[],2,FALSE)&amp;" - "&amp;VLOOKUP(LEFT(S_InputArk!$N87,LEN(S_InputArk!$N87)-2),Table_Questions[],2,FALSE)</f>
        <v>N/A - Procesunderstøttet - Planlægning</v>
      </c>
    </row>
    <row r="88" spans="8:16" x14ac:dyDescent="0.25">
      <c r="H88" s="129"/>
      <c r="N88" s="107" t="str">
        <f t="shared" si="1"/>
        <v>3.e4</v>
      </c>
      <c r="O88" s="98" t="s">
        <v>7</v>
      </c>
      <c r="P88" s="108" t="str">
        <f>VLOOKUP(LEFT(RIGHT(S_InputArk!$N88,2),1),Table_Kategorisering[],2,FALSE)&amp;" - "&amp;VLOOKUP(VALUE(RIGHT(S_InputArk!$N88,1)),Table_Modenhedsskala[],2,FALSE)&amp;" - "&amp;VLOOKUP(LEFT(S_InputArk!$N88,LEN(S_InputArk!$N88)-2),Table_Questions[],2,FALSE)</f>
        <v>N/A - Styret og målbar - Planlægning</v>
      </c>
    </row>
    <row r="89" spans="8:16" x14ac:dyDescent="0.25">
      <c r="H89" s="129"/>
      <c r="N89" s="107" t="str">
        <f t="shared" si="1"/>
        <v>3.e5</v>
      </c>
      <c r="O89" s="98" t="s">
        <v>14</v>
      </c>
      <c r="P89" s="108" t="str">
        <f>VLOOKUP(LEFT(RIGHT(S_InputArk!$N89,2),1),Table_Kategorisering[],2,FALSE)&amp;" - "&amp;VLOOKUP(VALUE(RIGHT(S_InputArk!$N89,1)),Table_Modenhedsskala[],2,FALSE)&amp;" - "&amp;VLOOKUP(LEFT(S_InputArk!$N89,LEN(S_InputArk!$N89)-2),Table_Questions[],2,FALSE)</f>
        <v>N/A - Optimeret - Planlægning</v>
      </c>
    </row>
    <row r="90" spans="8:16" x14ac:dyDescent="0.25">
      <c r="N90" s="107" t="str">
        <f t="shared" si="1"/>
        <v>3.f1</v>
      </c>
      <c r="O90" s="98" t="s">
        <v>123</v>
      </c>
      <c r="P90" s="108" t="str">
        <f>VLOOKUP(LEFT(RIGHT(S_InputArk!$N90,2),1),Table_Kategorisering[],2,FALSE)&amp;" - "&amp;VLOOKUP(VALUE(RIGHT(S_InputArk!$N90,1)),Table_Modenhedsskala[],2,FALSE)&amp;" - "&amp;VLOOKUP(LEFT(S_InputArk!$N90,LEN(S_InputArk!$N90)-2),Table_Questions[],2,FALSE)</f>
        <v>N/A - Ad-hoc - Planlægning</v>
      </c>
    </row>
    <row r="91" spans="8:16" x14ac:dyDescent="0.25">
      <c r="N91" s="107" t="str">
        <f t="shared" si="1"/>
        <v>3.f2</v>
      </c>
      <c r="O91" s="98" t="s">
        <v>123</v>
      </c>
      <c r="P91" s="108" t="str">
        <f>VLOOKUP(LEFT(RIGHT(S_InputArk!$N91,2),1),Table_Kategorisering[],2,FALSE)&amp;" - "&amp;VLOOKUP(VALUE(RIGHT(S_InputArk!$N91,1)),Table_Modenhedsskala[],2,FALSE)&amp;" - "&amp;VLOOKUP(LEFT(S_InputArk!$N91,LEN(S_InputArk!$N91)-2),Table_Questions[],2,FALSE)</f>
        <v>N/A - Gentaget - Planlægning</v>
      </c>
    </row>
    <row r="92" spans="8:16" x14ac:dyDescent="0.25">
      <c r="N92" s="107" t="str">
        <f t="shared" si="1"/>
        <v>3.f3</v>
      </c>
      <c r="O92" s="98" t="s">
        <v>123</v>
      </c>
      <c r="P92" s="108" t="str">
        <f>VLOOKUP(LEFT(RIGHT(S_InputArk!$N92,2),1),Table_Kategorisering[],2,FALSE)&amp;" - "&amp;VLOOKUP(VALUE(RIGHT(S_InputArk!$N92,1)),Table_Modenhedsskala[],2,FALSE)&amp;" - "&amp;VLOOKUP(LEFT(S_InputArk!$N92,LEN(S_InputArk!$N92)-2),Table_Questions[],2,FALSE)</f>
        <v>N/A - Procesunderstøttet - Planlægning</v>
      </c>
    </row>
    <row r="93" spans="8:16" x14ac:dyDescent="0.25">
      <c r="N93" s="107" t="str">
        <f t="shared" si="1"/>
        <v>3.f4</v>
      </c>
      <c r="O93" s="98" t="s">
        <v>123</v>
      </c>
      <c r="P93" s="108" t="str">
        <f>VLOOKUP(LEFT(RIGHT(S_InputArk!$N93,2),1),Table_Kategorisering[],2,FALSE)&amp;" - "&amp;VLOOKUP(VALUE(RIGHT(S_InputArk!$N93,1)),Table_Modenhedsskala[],2,FALSE)&amp;" - "&amp;VLOOKUP(LEFT(S_InputArk!$N93,LEN(S_InputArk!$N93)-2),Table_Questions[],2,FALSE)</f>
        <v>N/A - Styret og målbar - Planlægning</v>
      </c>
    </row>
    <row r="94" spans="8:16" x14ac:dyDescent="0.25">
      <c r="N94" s="107" t="str">
        <f t="shared" si="1"/>
        <v>3.f5</v>
      </c>
      <c r="O94" s="98" t="s">
        <v>123</v>
      </c>
      <c r="P94" s="108" t="str">
        <f>VLOOKUP(LEFT(RIGHT(S_InputArk!$N94,2),1),Table_Kategorisering[],2,FALSE)&amp;" - "&amp;VLOOKUP(VALUE(RIGHT(S_InputArk!$N94,1)),Table_Modenhedsskala[],2,FALSE)&amp;" - "&amp;VLOOKUP(LEFT(S_InputArk!$N94,LEN(S_InputArk!$N94)-2),Table_Questions[],2,FALSE)</f>
        <v>N/A - Optimeret - Planlægning</v>
      </c>
    </row>
    <row r="95" spans="8:16" x14ac:dyDescent="0.25">
      <c r="N95" s="107" t="str">
        <f t="shared" si="1"/>
        <v>4.a1</v>
      </c>
      <c r="O95" s="98" t="s">
        <v>215</v>
      </c>
      <c r="P95" s="108" t="str">
        <f>VLOOKUP(LEFT(RIGHT(S_InputArk!$N95,2),1),Table_Kategorisering[],2,FALSE)&amp;" - "&amp;VLOOKUP(VALUE(RIGHT(S_InputArk!$N95,1)),Table_Modenhedsskala[],2,FALSE)&amp;" - "&amp;VLOOKUP(LEFT(S_InputArk!$N95,LEN(S_InputArk!$N95)-2),Table_Questions[],2,FALSE)</f>
        <v>Kontekst (4.1) - Ad-hoc - Support</v>
      </c>
    </row>
    <row r="96" spans="8:16" x14ac:dyDescent="0.25">
      <c r="N96" s="107" t="str">
        <f t="shared" si="1"/>
        <v>4.a2</v>
      </c>
      <c r="O96" s="98" t="s">
        <v>5</v>
      </c>
      <c r="P96" s="108" t="str">
        <f>VLOOKUP(LEFT(RIGHT(S_InputArk!$N96,2),1),Table_Kategorisering[],2,FALSE)&amp;" - "&amp;VLOOKUP(VALUE(RIGHT(S_InputArk!$N96,1)),Table_Modenhedsskala[],2,FALSE)&amp;" - "&amp;VLOOKUP(LEFT(S_InputArk!$N96,LEN(S_InputArk!$N96)-2),Table_Questions[],2,FALSE)</f>
        <v>Kontekst (4.1) - Gentaget - Support</v>
      </c>
    </row>
    <row r="97" spans="9:16" x14ac:dyDescent="0.25">
      <c r="N97" s="107" t="str">
        <f t="shared" si="1"/>
        <v>4.a3</v>
      </c>
      <c r="O97" s="98" t="s">
        <v>6</v>
      </c>
      <c r="P97" s="108" t="str">
        <f>VLOOKUP(LEFT(RIGHT(S_InputArk!$N97,2),1),Table_Kategorisering[],2,FALSE)&amp;" - "&amp;VLOOKUP(VALUE(RIGHT(S_InputArk!$N97,1)),Table_Modenhedsskala[],2,FALSE)&amp;" - "&amp;VLOOKUP(LEFT(S_InputArk!$N97,LEN(S_InputArk!$N97)-2),Table_Questions[],2,FALSE)</f>
        <v>Kontekst (4.1) - Procesunderstøttet - Support</v>
      </c>
    </row>
    <row r="98" spans="9:16" x14ac:dyDescent="0.25">
      <c r="N98" s="107" t="str">
        <f t="shared" si="1"/>
        <v>4.a4</v>
      </c>
      <c r="O98" s="98" t="s">
        <v>7</v>
      </c>
      <c r="P98" s="108" t="str">
        <f>VLOOKUP(LEFT(RIGHT(S_InputArk!$N98,2),1),Table_Kategorisering[],2,FALSE)&amp;" - "&amp;VLOOKUP(VALUE(RIGHT(S_InputArk!$N98,1)),Table_Modenhedsskala[],2,FALSE)&amp;" - "&amp;VLOOKUP(LEFT(S_InputArk!$N98,LEN(S_InputArk!$N98)-2),Table_Questions[],2,FALSE)</f>
        <v>Kontekst (4.1) - Styret og målbar - Support</v>
      </c>
    </row>
    <row r="99" spans="9:16" x14ac:dyDescent="0.25">
      <c r="N99" s="107" t="str">
        <f t="shared" si="1"/>
        <v>4.a5</v>
      </c>
      <c r="O99" s="98" t="s">
        <v>14</v>
      </c>
      <c r="P99" s="108" t="str">
        <f>VLOOKUP(LEFT(RIGHT(S_InputArk!$N99,2),1),Table_Kategorisering[],2,FALSE)&amp;" - "&amp;VLOOKUP(VALUE(RIGHT(S_InputArk!$N99,1)),Table_Modenhedsskala[],2,FALSE)&amp;" - "&amp;VLOOKUP(LEFT(S_InputArk!$N99,LEN(S_InputArk!$N99)-2),Table_Questions[],2,FALSE)</f>
        <v>Kontekst (4.1) - Optimeret - Support</v>
      </c>
    </row>
    <row r="100" spans="9:16" x14ac:dyDescent="0.25">
      <c r="N100" s="107" t="str">
        <f t="shared" si="1"/>
        <v>4.b1</v>
      </c>
      <c r="O100" s="98" t="s">
        <v>215</v>
      </c>
      <c r="P100" s="108" t="str">
        <f>VLOOKUP(LEFT(RIGHT(S_InputArk!$N100,2),1),Table_Kategorisering[],2,FALSE)&amp;" - "&amp;VLOOKUP(VALUE(RIGHT(S_InputArk!$N100,1)),Table_Modenhedsskala[],2,FALSE)&amp;" - "&amp;VLOOKUP(LEFT(S_InputArk!$N100,LEN(S_InputArk!$N100)-2),Table_Questions[],2,FALSE)</f>
        <v>Behov og forventninger (4.2) - Ad-hoc - Support</v>
      </c>
    </row>
    <row r="101" spans="9:16" x14ac:dyDescent="0.25">
      <c r="N101" s="107" t="str">
        <f t="shared" si="1"/>
        <v>4.b2</v>
      </c>
      <c r="O101" s="98" t="s">
        <v>5</v>
      </c>
      <c r="P101" s="108" t="str">
        <f>VLOOKUP(LEFT(RIGHT(S_InputArk!$N101,2),1),Table_Kategorisering[],2,FALSE)&amp;" - "&amp;VLOOKUP(VALUE(RIGHT(S_InputArk!$N101,1)),Table_Modenhedsskala[],2,FALSE)&amp;" - "&amp;VLOOKUP(LEFT(S_InputArk!$N101,LEN(S_InputArk!$N101)-2),Table_Questions[],2,FALSE)</f>
        <v>Behov og forventninger (4.2) - Gentaget - Support</v>
      </c>
    </row>
    <row r="102" spans="9:16" x14ac:dyDescent="0.25">
      <c r="N102" s="107" t="str">
        <f t="shared" si="1"/>
        <v>4.b3</v>
      </c>
      <c r="O102" s="98" t="s">
        <v>6</v>
      </c>
      <c r="P102" s="108" t="str">
        <f>VLOOKUP(LEFT(RIGHT(S_InputArk!$N102,2),1),Table_Kategorisering[],2,FALSE)&amp;" - "&amp;VLOOKUP(VALUE(RIGHT(S_InputArk!$N102,1)),Table_Modenhedsskala[],2,FALSE)&amp;" - "&amp;VLOOKUP(LEFT(S_InputArk!$N102,LEN(S_InputArk!$N102)-2),Table_Questions[],2,FALSE)</f>
        <v>Behov og forventninger (4.2) - Procesunderstøttet - Support</v>
      </c>
    </row>
    <row r="103" spans="9:16" x14ac:dyDescent="0.25">
      <c r="N103" s="107" t="str">
        <f t="shared" si="1"/>
        <v>4.b4</v>
      </c>
      <c r="O103" s="98" t="s">
        <v>7</v>
      </c>
      <c r="P103" s="108" t="str">
        <f>VLOOKUP(LEFT(RIGHT(S_InputArk!$N103,2),1),Table_Kategorisering[],2,FALSE)&amp;" - "&amp;VLOOKUP(VALUE(RIGHT(S_InputArk!$N103,1)),Table_Modenhedsskala[],2,FALSE)&amp;" - "&amp;VLOOKUP(LEFT(S_InputArk!$N103,LEN(S_InputArk!$N103)-2),Table_Questions[],2,FALSE)</f>
        <v>Behov og forventninger (4.2) - Styret og målbar - Support</v>
      </c>
    </row>
    <row r="104" spans="9:16" x14ac:dyDescent="0.25">
      <c r="N104" s="107" t="str">
        <f t="shared" si="1"/>
        <v>4.b5</v>
      </c>
      <c r="O104" s="98" t="s">
        <v>14</v>
      </c>
      <c r="P104" s="108" t="str">
        <f>VLOOKUP(LEFT(RIGHT(S_InputArk!$N104,2),1),Table_Kategorisering[],2,FALSE)&amp;" - "&amp;VLOOKUP(VALUE(RIGHT(S_InputArk!$N104,1)),Table_Modenhedsskala[],2,FALSE)&amp;" - "&amp;VLOOKUP(LEFT(S_InputArk!$N104,LEN(S_InputArk!$N104)-2),Table_Questions[],2,FALSE)</f>
        <v>Behov og forventninger (4.2) - Optimeret - Support</v>
      </c>
    </row>
    <row r="105" spans="9:16" x14ac:dyDescent="0.25">
      <c r="N105" s="107" t="str">
        <f t="shared" si="1"/>
        <v>4.c1</v>
      </c>
      <c r="O105" s="98" t="s">
        <v>215</v>
      </c>
      <c r="P105" s="108" t="str">
        <f>VLOOKUP(LEFT(RIGHT(S_InputArk!$N105,2),1),Table_Kategorisering[],2,FALSE)&amp;" - "&amp;VLOOKUP(VALUE(RIGHT(S_InputArk!$N105,1)),Table_Modenhedsskala[],2,FALSE)&amp;" - "&amp;VLOOKUP(LEFT(S_InputArk!$N105,LEN(S_InputArk!$N105)-2),Table_Questions[],2,FALSE)</f>
        <v>Omfang (4.3) - Ad-hoc - Support</v>
      </c>
    </row>
    <row r="106" spans="9:16" x14ac:dyDescent="0.25">
      <c r="N106" s="107" t="str">
        <f t="shared" si="1"/>
        <v>4.c2</v>
      </c>
      <c r="O106" s="98" t="s">
        <v>5</v>
      </c>
      <c r="P106" s="108" t="str">
        <f>VLOOKUP(LEFT(RIGHT(S_InputArk!$N106,2),1),Table_Kategorisering[],2,FALSE)&amp;" - "&amp;VLOOKUP(VALUE(RIGHT(S_InputArk!$N106,1)),Table_Modenhedsskala[],2,FALSE)&amp;" - "&amp;VLOOKUP(LEFT(S_InputArk!$N106,LEN(S_InputArk!$N106)-2),Table_Questions[],2,FALSE)</f>
        <v>Omfang (4.3) - Gentaget - Support</v>
      </c>
    </row>
    <row r="107" spans="9:16" x14ac:dyDescent="0.25">
      <c r="L107" s="125"/>
      <c r="N107" s="107" t="str">
        <f t="shared" si="1"/>
        <v>4.c3</v>
      </c>
      <c r="O107" s="98" t="s">
        <v>6</v>
      </c>
      <c r="P107" s="108" t="str">
        <f>VLOOKUP(LEFT(RIGHT(S_InputArk!$N107,2),1),Table_Kategorisering[],2,FALSE)&amp;" - "&amp;VLOOKUP(VALUE(RIGHT(S_InputArk!$N107,1)),Table_Modenhedsskala[],2,FALSE)&amp;" - "&amp;VLOOKUP(LEFT(S_InputArk!$N107,LEN(S_InputArk!$N107)-2),Table_Questions[],2,FALSE)</f>
        <v>Omfang (4.3) - Procesunderstøttet - Support</v>
      </c>
    </row>
    <row r="108" spans="9:16" x14ac:dyDescent="0.25">
      <c r="L108" s="125"/>
      <c r="N108" s="107" t="str">
        <f t="shared" si="1"/>
        <v>4.c4</v>
      </c>
      <c r="O108" s="98" t="s">
        <v>7</v>
      </c>
      <c r="P108" s="108" t="str">
        <f>VLOOKUP(LEFT(RIGHT(S_InputArk!$N108,2),1),Table_Kategorisering[],2,FALSE)&amp;" - "&amp;VLOOKUP(VALUE(RIGHT(S_InputArk!$N108,1)),Table_Modenhedsskala[],2,FALSE)&amp;" - "&amp;VLOOKUP(LEFT(S_InputArk!$N108,LEN(S_InputArk!$N108)-2),Table_Questions[],2,FALSE)</f>
        <v>Omfang (4.3) - Styret og målbar - Support</v>
      </c>
    </row>
    <row r="109" spans="9:16" x14ac:dyDescent="0.25">
      <c r="N109" s="107" t="str">
        <f t="shared" si="1"/>
        <v>4.c5</v>
      </c>
      <c r="O109" s="98" t="s">
        <v>14</v>
      </c>
      <c r="P109" s="108" t="str">
        <f>VLOOKUP(LEFT(RIGHT(S_InputArk!$N109,2),1),Table_Kategorisering[],2,FALSE)&amp;" - "&amp;VLOOKUP(VALUE(RIGHT(S_InputArk!$N109,1)),Table_Modenhedsskala[],2,FALSE)&amp;" - "&amp;VLOOKUP(LEFT(S_InputArk!$N109,LEN(S_InputArk!$N109)-2),Table_Questions[],2,FALSE)</f>
        <v>Omfang (4.3) - Optimeret - Support</v>
      </c>
    </row>
    <row r="110" spans="9:16" x14ac:dyDescent="0.25">
      <c r="I110" s="125"/>
      <c r="N110" s="107" t="str">
        <f t="shared" si="1"/>
        <v>4.d1</v>
      </c>
      <c r="O110" s="98" t="s">
        <v>215</v>
      </c>
      <c r="P110" s="108" t="str">
        <f>VLOOKUP(LEFT(RIGHT(S_InputArk!$N110,2),1),Table_Kategorisering[],2,FALSE)&amp;" - "&amp;VLOOKUP(VALUE(RIGHT(S_InputArk!$N110,1)),Table_Modenhedsskala[],2,FALSE)&amp;" - "&amp;VLOOKUP(LEFT(S_InputArk!$N110,LEN(S_InputArk!$N110)-2),Table_Questions[],2,FALSE)</f>
        <v>Ledelsessystem (4.4) - Ad-hoc - Support</v>
      </c>
    </row>
    <row r="111" spans="9:16" x14ac:dyDescent="0.25">
      <c r="I111" s="125"/>
      <c r="N111" s="107" t="str">
        <f t="shared" si="1"/>
        <v>4.d2</v>
      </c>
      <c r="O111" s="98" t="s">
        <v>5</v>
      </c>
      <c r="P111" s="108" t="str">
        <f>VLOOKUP(LEFT(RIGHT(S_InputArk!$N111,2),1),Table_Kategorisering[],2,FALSE)&amp;" - "&amp;VLOOKUP(VALUE(RIGHT(S_InputArk!$N111,1)),Table_Modenhedsskala[],2,FALSE)&amp;" - "&amp;VLOOKUP(LEFT(S_InputArk!$N111,LEN(S_InputArk!$N111)-2),Table_Questions[],2,FALSE)</f>
        <v>Ledelsessystem (4.4) - Gentaget - Support</v>
      </c>
    </row>
    <row r="112" spans="9:16" x14ac:dyDescent="0.25">
      <c r="N112" s="107" t="str">
        <f t="shared" si="1"/>
        <v>4.d3</v>
      </c>
      <c r="O112" s="98" t="s">
        <v>6</v>
      </c>
      <c r="P112" s="108" t="str">
        <f>VLOOKUP(LEFT(RIGHT(S_InputArk!$N112,2),1),Table_Kategorisering[],2,FALSE)&amp;" - "&amp;VLOOKUP(VALUE(RIGHT(S_InputArk!$N112,1)),Table_Modenhedsskala[],2,FALSE)&amp;" - "&amp;VLOOKUP(LEFT(S_InputArk!$N112,LEN(S_InputArk!$N112)-2),Table_Questions[],2,FALSE)</f>
        <v>Ledelsessystem (4.4) - Procesunderstøttet - Support</v>
      </c>
    </row>
    <row r="113" spans="8:16" x14ac:dyDescent="0.25">
      <c r="N113" s="107" t="str">
        <f t="shared" si="1"/>
        <v>4.d4</v>
      </c>
      <c r="O113" s="98" t="s">
        <v>7</v>
      </c>
      <c r="P113" s="108" t="str">
        <f>VLOOKUP(LEFT(RIGHT(S_InputArk!$N113,2),1),Table_Kategorisering[],2,FALSE)&amp;" - "&amp;VLOOKUP(VALUE(RIGHT(S_InputArk!$N113,1)),Table_Modenhedsskala[],2,FALSE)&amp;" - "&amp;VLOOKUP(LEFT(S_InputArk!$N113,LEN(S_InputArk!$N113)-2),Table_Questions[],2,FALSE)</f>
        <v>Ledelsessystem (4.4) - Styret og målbar - Support</v>
      </c>
    </row>
    <row r="114" spans="8:16" x14ac:dyDescent="0.25">
      <c r="N114" s="107" t="str">
        <f t="shared" si="1"/>
        <v>4.d5</v>
      </c>
      <c r="O114" s="98" t="s">
        <v>14</v>
      </c>
      <c r="P114" s="108" t="str">
        <f>VLOOKUP(LEFT(RIGHT(S_InputArk!$N114,2),1),Table_Kategorisering[],2,FALSE)&amp;" - "&amp;VLOOKUP(VALUE(RIGHT(S_InputArk!$N114,1)),Table_Modenhedsskala[],2,FALSE)&amp;" - "&amp;VLOOKUP(LEFT(S_InputArk!$N114,LEN(S_InputArk!$N114)-2),Table_Questions[],2,FALSE)</f>
        <v>Ledelsessystem (4.4) - Optimeret - Support</v>
      </c>
    </row>
    <row r="115" spans="8:16" x14ac:dyDescent="0.25">
      <c r="I115" s="125"/>
      <c r="N115" s="107" t="str">
        <f t="shared" si="1"/>
        <v>4.e1</v>
      </c>
      <c r="O115" s="98" t="s">
        <v>215</v>
      </c>
      <c r="P115" s="108" t="str">
        <f>VLOOKUP(LEFT(RIGHT(S_InputArk!$N115,2),1),Table_Kategorisering[],2,FALSE)&amp;" - "&amp;VLOOKUP(VALUE(RIGHT(S_InputArk!$N115,1)),Table_Modenhedsskala[],2,FALSE)&amp;" - "&amp;VLOOKUP(LEFT(S_InputArk!$N115,LEN(S_InputArk!$N115)-2),Table_Questions[],2,FALSE)</f>
        <v>N/A - Ad-hoc - Support</v>
      </c>
    </row>
    <row r="116" spans="8:16" x14ac:dyDescent="0.25">
      <c r="N116" s="107" t="str">
        <f t="shared" si="1"/>
        <v>4.e2</v>
      </c>
      <c r="O116" s="98" t="s">
        <v>5</v>
      </c>
      <c r="P116" s="108" t="str">
        <f>VLOOKUP(LEFT(RIGHT(S_InputArk!$N116,2),1),Table_Kategorisering[],2,FALSE)&amp;" - "&amp;VLOOKUP(VALUE(RIGHT(S_InputArk!$N116,1)),Table_Modenhedsskala[],2,FALSE)&amp;" - "&amp;VLOOKUP(LEFT(S_InputArk!$N116,LEN(S_InputArk!$N116)-2),Table_Questions[],2,FALSE)</f>
        <v>N/A - Gentaget - Support</v>
      </c>
    </row>
    <row r="117" spans="8:16" x14ac:dyDescent="0.25">
      <c r="N117" s="107" t="str">
        <f t="shared" si="1"/>
        <v>4.e3</v>
      </c>
      <c r="O117" s="98" t="s">
        <v>6</v>
      </c>
      <c r="P117" s="108" t="str">
        <f>VLOOKUP(LEFT(RIGHT(S_InputArk!$N117,2),1),Table_Kategorisering[],2,FALSE)&amp;" - "&amp;VLOOKUP(VALUE(RIGHT(S_InputArk!$N117,1)),Table_Modenhedsskala[],2,FALSE)&amp;" - "&amp;VLOOKUP(LEFT(S_InputArk!$N117,LEN(S_InputArk!$N117)-2),Table_Questions[],2,FALSE)</f>
        <v>N/A - Procesunderstøttet - Support</v>
      </c>
    </row>
    <row r="118" spans="8:16" x14ac:dyDescent="0.25">
      <c r="N118" s="107" t="str">
        <f t="shared" si="1"/>
        <v>4.e4</v>
      </c>
      <c r="O118" s="98" t="s">
        <v>7</v>
      </c>
      <c r="P118" s="108" t="str">
        <f>VLOOKUP(LEFT(RIGHT(S_InputArk!$N118,2),1),Table_Kategorisering[],2,FALSE)&amp;" - "&amp;VLOOKUP(VALUE(RIGHT(S_InputArk!$N118,1)),Table_Modenhedsskala[],2,FALSE)&amp;" - "&amp;VLOOKUP(LEFT(S_InputArk!$N118,LEN(S_InputArk!$N118)-2),Table_Questions[],2,FALSE)</f>
        <v>N/A - Styret og målbar - Support</v>
      </c>
    </row>
    <row r="119" spans="8:16" x14ac:dyDescent="0.25">
      <c r="N119" s="107" t="str">
        <f t="shared" si="1"/>
        <v>4.e5</v>
      </c>
      <c r="O119" s="98" t="s">
        <v>14</v>
      </c>
      <c r="P119" s="108" t="str">
        <f>VLOOKUP(LEFT(RIGHT(S_InputArk!$N119,2),1),Table_Kategorisering[],2,FALSE)&amp;" - "&amp;VLOOKUP(VALUE(RIGHT(S_InputArk!$N119,1)),Table_Modenhedsskala[],2,FALSE)&amp;" - "&amp;VLOOKUP(LEFT(S_InputArk!$N119,LEN(S_InputArk!$N119)-2),Table_Questions[],2,FALSE)</f>
        <v>N/A - Optimeret - Support</v>
      </c>
    </row>
    <row r="120" spans="8:16" x14ac:dyDescent="0.25">
      <c r="H120" s="125"/>
      <c r="I120" s="125"/>
      <c r="N120" s="107" t="str">
        <f t="shared" si="1"/>
        <v>4.f1</v>
      </c>
      <c r="O120" s="98" t="s">
        <v>123</v>
      </c>
      <c r="P120" s="108" t="str">
        <f>VLOOKUP(LEFT(RIGHT(S_InputArk!$N120,2),1),Table_Kategorisering[],2,FALSE)&amp;" - "&amp;VLOOKUP(VALUE(RIGHT(S_InputArk!$N120,1)),Table_Modenhedsskala[],2,FALSE)&amp;" - "&amp;VLOOKUP(LEFT(S_InputArk!$N120,LEN(S_InputArk!$N120)-2),Table_Questions[],2,FALSE)</f>
        <v>N/A - Ad-hoc - Support</v>
      </c>
    </row>
    <row r="121" spans="8:16" x14ac:dyDescent="0.25">
      <c r="H121" s="125"/>
      <c r="I121" s="125"/>
      <c r="N121" s="107" t="str">
        <f t="shared" si="1"/>
        <v>4.f2</v>
      </c>
      <c r="O121" s="98" t="s">
        <v>123</v>
      </c>
      <c r="P121" s="108" t="str">
        <f>VLOOKUP(LEFT(RIGHT(S_InputArk!$N121,2),1),Table_Kategorisering[],2,FALSE)&amp;" - "&amp;VLOOKUP(VALUE(RIGHT(S_InputArk!$N121,1)),Table_Modenhedsskala[],2,FALSE)&amp;" - "&amp;VLOOKUP(LEFT(S_InputArk!$N121,LEN(S_InputArk!$N121)-2),Table_Questions[],2,FALSE)</f>
        <v>N/A - Gentaget - Support</v>
      </c>
    </row>
    <row r="122" spans="8:16" x14ac:dyDescent="0.25">
      <c r="H122" s="116"/>
      <c r="N122" s="107" t="str">
        <f t="shared" si="1"/>
        <v>4.f3</v>
      </c>
      <c r="O122" s="98" t="s">
        <v>123</v>
      </c>
      <c r="P122" s="108" t="str">
        <f>VLOOKUP(LEFT(RIGHT(S_InputArk!$N122,2),1),Table_Kategorisering[],2,FALSE)&amp;" - "&amp;VLOOKUP(VALUE(RIGHT(S_InputArk!$N122,1)),Table_Modenhedsskala[],2,FALSE)&amp;" - "&amp;VLOOKUP(LEFT(S_InputArk!$N122,LEN(S_InputArk!$N122)-2),Table_Questions[],2,FALSE)</f>
        <v>N/A - Procesunderstøttet - Support</v>
      </c>
    </row>
    <row r="123" spans="8:16" x14ac:dyDescent="0.25">
      <c r="N123" s="107" t="str">
        <f t="shared" si="1"/>
        <v>4.f4</v>
      </c>
      <c r="O123" s="98" t="s">
        <v>123</v>
      </c>
      <c r="P123" s="108" t="str">
        <f>VLOOKUP(LEFT(RIGHT(S_InputArk!$N123,2),1),Table_Kategorisering[],2,FALSE)&amp;" - "&amp;VLOOKUP(VALUE(RIGHT(S_InputArk!$N123,1)),Table_Modenhedsskala[],2,FALSE)&amp;" - "&amp;VLOOKUP(LEFT(S_InputArk!$N123,LEN(S_InputArk!$N123)-2),Table_Questions[],2,FALSE)</f>
        <v>N/A - Styret og målbar - Support</v>
      </c>
    </row>
    <row r="124" spans="8:16" x14ac:dyDescent="0.25">
      <c r="N124" s="107" t="str">
        <f t="shared" si="1"/>
        <v>4.f5</v>
      </c>
      <c r="O124" s="98" t="s">
        <v>123</v>
      </c>
      <c r="P124" s="108" t="str">
        <f>VLOOKUP(LEFT(RIGHT(S_InputArk!$N124,2),1),Table_Kategorisering[],2,FALSE)&amp;" - "&amp;VLOOKUP(VALUE(RIGHT(S_InputArk!$N124,1)),Table_Modenhedsskala[],2,FALSE)&amp;" - "&amp;VLOOKUP(LEFT(S_InputArk!$N124,LEN(S_InputArk!$N124)-2),Table_Questions[],2,FALSE)</f>
        <v>N/A - Optimeret - Support</v>
      </c>
    </row>
    <row r="125" spans="8:16" x14ac:dyDescent="0.25">
      <c r="N125" s="107" t="str">
        <f t="shared" si="1"/>
        <v>5.a1</v>
      </c>
      <c r="O125" s="98" t="s">
        <v>215</v>
      </c>
      <c r="P125" s="108" t="str">
        <f>VLOOKUP(LEFT(RIGHT(S_InputArk!$N125,2),1),Table_Kategorisering[],2,FALSE)&amp;" - "&amp;VLOOKUP(VALUE(RIGHT(S_InputArk!$N125,1)),Table_Modenhedsskala[],2,FALSE)&amp;" - "&amp;VLOOKUP(LEFT(S_InputArk!$N125,LEN(S_InputArk!$N125)-2),Table_Questions[],2,FALSE)</f>
        <v xml:space="preserve">Kontekst (4.1) - Ad-hoc - Drift </v>
      </c>
    </row>
    <row r="126" spans="8:16" x14ac:dyDescent="0.25">
      <c r="N126" s="107" t="str">
        <f t="shared" si="1"/>
        <v>5.a2</v>
      </c>
      <c r="O126" s="98" t="s">
        <v>5</v>
      </c>
      <c r="P126" s="108" t="str">
        <f>VLOOKUP(LEFT(RIGHT(S_InputArk!$N126,2),1),Table_Kategorisering[],2,FALSE)&amp;" - "&amp;VLOOKUP(VALUE(RIGHT(S_InputArk!$N126,1)),Table_Modenhedsskala[],2,FALSE)&amp;" - "&amp;VLOOKUP(LEFT(S_InputArk!$N126,LEN(S_InputArk!$N126)-2),Table_Questions[],2,FALSE)</f>
        <v xml:space="preserve">Kontekst (4.1) - Gentaget - Drift </v>
      </c>
    </row>
    <row r="127" spans="8:16" x14ac:dyDescent="0.25">
      <c r="N127" s="107" t="str">
        <f t="shared" si="1"/>
        <v>5.a3</v>
      </c>
      <c r="O127" s="98" t="s">
        <v>6</v>
      </c>
      <c r="P127" s="108" t="str">
        <f>VLOOKUP(LEFT(RIGHT(S_InputArk!$N127,2),1),Table_Kategorisering[],2,FALSE)&amp;" - "&amp;VLOOKUP(VALUE(RIGHT(S_InputArk!$N127,1)),Table_Modenhedsskala[],2,FALSE)&amp;" - "&amp;VLOOKUP(LEFT(S_InputArk!$N127,LEN(S_InputArk!$N127)-2),Table_Questions[],2,FALSE)</f>
        <v xml:space="preserve">Kontekst (4.1) - Procesunderstøttet - Drift </v>
      </c>
    </row>
    <row r="128" spans="8:16" x14ac:dyDescent="0.25">
      <c r="N128" s="107" t="str">
        <f t="shared" si="1"/>
        <v>5.a4</v>
      </c>
      <c r="O128" s="98" t="s">
        <v>7</v>
      </c>
      <c r="P128" s="108" t="str">
        <f>VLOOKUP(LEFT(RIGHT(S_InputArk!$N128,2),1),Table_Kategorisering[],2,FALSE)&amp;" - "&amp;VLOOKUP(VALUE(RIGHT(S_InputArk!$N128,1)),Table_Modenhedsskala[],2,FALSE)&amp;" - "&amp;VLOOKUP(LEFT(S_InputArk!$N128,LEN(S_InputArk!$N128)-2),Table_Questions[],2,FALSE)</f>
        <v xml:space="preserve">Kontekst (4.1) - Styret og målbar - Drift </v>
      </c>
    </row>
    <row r="129" spans="14:16" x14ac:dyDescent="0.25">
      <c r="N129" s="107" t="str">
        <f t="shared" si="1"/>
        <v>5.a5</v>
      </c>
      <c r="O129" s="98" t="s">
        <v>14</v>
      </c>
      <c r="P129" s="108" t="str">
        <f>VLOOKUP(LEFT(RIGHT(S_InputArk!$N129,2),1),Table_Kategorisering[],2,FALSE)&amp;" - "&amp;VLOOKUP(VALUE(RIGHT(S_InputArk!$N129,1)),Table_Modenhedsskala[],2,FALSE)&amp;" - "&amp;VLOOKUP(LEFT(S_InputArk!$N129,LEN(S_InputArk!$N129)-2),Table_Questions[],2,FALSE)</f>
        <v xml:space="preserve">Kontekst (4.1) - Optimeret - Drift </v>
      </c>
    </row>
    <row r="130" spans="14:16" x14ac:dyDescent="0.25">
      <c r="N130" s="107" t="str">
        <f t="shared" si="1"/>
        <v>5.b1</v>
      </c>
      <c r="O130" s="98" t="s">
        <v>215</v>
      </c>
      <c r="P130" s="108" t="str">
        <f>VLOOKUP(LEFT(RIGHT(S_InputArk!$N130,2),1),Table_Kategorisering[],2,FALSE)&amp;" - "&amp;VLOOKUP(VALUE(RIGHT(S_InputArk!$N130,1)),Table_Modenhedsskala[],2,FALSE)&amp;" - "&amp;VLOOKUP(LEFT(S_InputArk!$N130,LEN(S_InputArk!$N130)-2),Table_Questions[],2,FALSE)</f>
        <v xml:space="preserve">Behov og forventninger (4.2) - Ad-hoc - Drift </v>
      </c>
    </row>
    <row r="131" spans="14:16" x14ac:dyDescent="0.25">
      <c r="N131" s="107" t="str">
        <f t="shared" si="1"/>
        <v>5.b2</v>
      </c>
      <c r="O131" s="98" t="s">
        <v>5</v>
      </c>
      <c r="P131" s="108" t="str">
        <f>VLOOKUP(LEFT(RIGHT(S_InputArk!$N131,2),1),Table_Kategorisering[],2,FALSE)&amp;" - "&amp;VLOOKUP(VALUE(RIGHT(S_InputArk!$N131,1)),Table_Modenhedsskala[],2,FALSE)&amp;" - "&amp;VLOOKUP(LEFT(S_InputArk!$N131,LEN(S_InputArk!$N131)-2),Table_Questions[],2,FALSE)</f>
        <v xml:space="preserve">Behov og forventninger (4.2) - Gentaget - Drift </v>
      </c>
    </row>
    <row r="132" spans="14:16" x14ac:dyDescent="0.25">
      <c r="N132" s="107" t="str">
        <f t="shared" si="1"/>
        <v>5.b3</v>
      </c>
      <c r="O132" s="98" t="s">
        <v>6</v>
      </c>
      <c r="P132" s="108" t="str">
        <f>VLOOKUP(LEFT(RIGHT(S_InputArk!$N132,2),1),Table_Kategorisering[],2,FALSE)&amp;" - "&amp;VLOOKUP(VALUE(RIGHT(S_InputArk!$N132,1)),Table_Modenhedsskala[],2,FALSE)&amp;" - "&amp;VLOOKUP(LEFT(S_InputArk!$N132,LEN(S_InputArk!$N132)-2),Table_Questions[],2,FALSE)</f>
        <v xml:space="preserve">Behov og forventninger (4.2) - Procesunderstøttet - Drift </v>
      </c>
    </row>
    <row r="133" spans="14:16" x14ac:dyDescent="0.25">
      <c r="N133" s="107" t="str">
        <f t="shared" ref="N133:N196" si="2">ROUNDUP(ROW($N129)/30,0)&amp;"."&amp;
CHOOSE(IF(
MOD(ROUNDUP(ROW($N129)/5,0),6)=0,6,MOD(ROUNDUP(ROW($N129)/5,0),6)),"a","b","c","d","e","f")&amp;
IF(MOD(ROW($N129),5)=0,5,MOD(ROW($N129),5))</f>
        <v>5.b4</v>
      </c>
      <c r="O133" s="98" t="s">
        <v>7</v>
      </c>
      <c r="P133" s="108" t="str">
        <f>VLOOKUP(LEFT(RIGHT(S_InputArk!$N133,2),1),Table_Kategorisering[],2,FALSE)&amp;" - "&amp;VLOOKUP(VALUE(RIGHT(S_InputArk!$N133,1)),Table_Modenhedsskala[],2,FALSE)&amp;" - "&amp;VLOOKUP(LEFT(S_InputArk!$N133,LEN(S_InputArk!$N133)-2),Table_Questions[],2,FALSE)</f>
        <v xml:space="preserve">Behov og forventninger (4.2) - Styret og målbar - Drift </v>
      </c>
    </row>
    <row r="134" spans="14:16" x14ac:dyDescent="0.25">
      <c r="N134" s="107" t="str">
        <f t="shared" si="2"/>
        <v>5.b5</v>
      </c>
      <c r="O134" s="98" t="s">
        <v>14</v>
      </c>
      <c r="P134" s="108" t="str">
        <f>VLOOKUP(LEFT(RIGHT(S_InputArk!$N134,2),1),Table_Kategorisering[],2,FALSE)&amp;" - "&amp;VLOOKUP(VALUE(RIGHT(S_InputArk!$N134,1)),Table_Modenhedsskala[],2,FALSE)&amp;" - "&amp;VLOOKUP(LEFT(S_InputArk!$N134,LEN(S_InputArk!$N134)-2),Table_Questions[],2,FALSE)</f>
        <v xml:space="preserve">Behov og forventninger (4.2) - Optimeret - Drift </v>
      </c>
    </row>
    <row r="135" spans="14:16" x14ac:dyDescent="0.25">
      <c r="N135" s="107" t="str">
        <f t="shared" si="2"/>
        <v>5.c1</v>
      </c>
      <c r="O135" s="98" t="s">
        <v>215</v>
      </c>
      <c r="P135" s="108" t="str">
        <f>VLOOKUP(LEFT(RIGHT(S_InputArk!$N135,2),1),Table_Kategorisering[],2,FALSE)&amp;" - "&amp;VLOOKUP(VALUE(RIGHT(S_InputArk!$N135,1)),Table_Modenhedsskala[],2,FALSE)&amp;" - "&amp;VLOOKUP(LEFT(S_InputArk!$N135,LEN(S_InputArk!$N135)-2),Table_Questions[],2,FALSE)</f>
        <v xml:space="preserve">Omfang (4.3) - Ad-hoc - Drift </v>
      </c>
    </row>
    <row r="136" spans="14:16" x14ac:dyDescent="0.25">
      <c r="N136" s="107" t="str">
        <f t="shared" si="2"/>
        <v>5.c2</v>
      </c>
      <c r="O136" s="98" t="s">
        <v>5</v>
      </c>
      <c r="P136" s="108" t="str">
        <f>VLOOKUP(LEFT(RIGHT(S_InputArk!$N136,2),1),Table_Kategorisering[],2,FALSE)&amp;" - "&amp;VLOOKUP(VALUE(RIGHT(S_InputArk!$N136,1)),Table_Modenhedsskala[],2,FALSE)&amp;" - "&amp;VLOOKUP(LEFT(S_InputArk!$N136,LEN(S_InputArk!$N136)-2),Table_Questions[],2,FALSE)</f>
        <v xml:space="preserve">Omfang (4.3) - Gentaget - Drift </v>
      </c>
    </row>
    <row r="137" spans="14:16" x14ac:dyDescent="0.25">
      <c r="N137" s="107" t="str">
        <f t="shared" si="2"/>
        <v>5.c3</v>
      </c>
      <c r="O137" s="98" t="s">
        <v>6</v>
      </c>
      <c r="P137" s="108" t="str">
        <f>VLOOKUP(LEFT(RIGHT(S_InputArk!$N137,2),1),Table_Kategorisering[],2,FALSE)&amp;" - "&amp;VLOOKUP(VALUE(RIGHT(S_InputArk!$N137,1)),Table_Modenhedsskala[],2,FALSE)&amp;" - "&amp;VLOOKUP(LEFT(S_InputArk!$N137,LEN(S_InputArk!$N137)-2),Table_Questions[],2,FALSE)</f>
        <v xml:space="preserve">Omfang (4.3) - Procesunderstøttet - Drift </v>
      </c>
    </row>
    <row r="138" spans="14:16" x14ac:dyDescent="0.25">
      <c r="N138" s="107" t="str">
        <f t="shared" si="2"/>
        <v>5.c4</v>
      </c>
      <c r="O138" s="98" t="s">
        <v>7</v>
      </c>
      <c r="P138" s="108" t="str">
        <f>VLOOKUP(LEFT(RIGHT(S_InputArk!$N138,2),1),Table_Kategorisering[],2,FALSE)&amp;" - "&amp;VLOOKUP(VALUE(RIGHT(S_InputArk!$N138,1)),Table_Modenhedsskala[],2,FALSE)&amp;" - "&amp;VLOOKUP(LEFT(S_InputArk!$N138,LEN(S_InputArk!$N138)-2),Table_Questions[],2,FALSE)</f>
        <v xml:space="preserve">Omfang (4.3) - Styret og målbar - Drift </v>
      </c>
    </row>
    <row r="139" spans="14:16" x14ac:dyDescent="0.25">
      <c r="N139" s="107" t="str">
        <f t="shared" si="2"/>
        <v>5.c5</v>
      </c>
      <c r="O139" s="98" t="s">
        <v>14</v>
      </c>
      <c r="P139" s="108" t="str">
        <f>VLOOKUP(LEFT(RIGHT(S_InputArk!$N139,2),1),Table_Kategorisering[],2,FALSE)&amp;" - "&amp;VLOOKUP(VALUE(RIGHT(S_InputArk!$N139,1)),Table_Modenhedsskala[],2,FALSE)&amp;" - "&amp;VLOOKUP(LEFT(S_InputArk!$N139,LEN(S_InputArk!$N139)-2),Table_Questions[],2,FALSE)</f>
        <v xml:space="preserve">Omfang (4.3) - Optimeret - Drift </v>
      </c>
    </row>
    <row r="140" spans="14:16" x14ac:dyDescent="0.25">
      <c r="N140" s="107" t="str">
        <f t="shared" si="2"/>
        <v>5.d1</v>
      </c>
      <c r="O140" s="98" t="s">
        <v>215</v>
      </c>
      <c r="P140" s="108" t="str">
        <f>VLOOKUP(LEFT(RIGHT(S_InputArk!$N140,2),1),Table_Kategorisering[],2,FALSE)&amp;" - "&amp;VLOOKUP(VALUE(RIGHT(S_InputArk!$N140,1)),Table_Modenhedsskala[],2,FALSE)&amp;" - "&amp;VLOOKUP(LEFT(S_InputArk!$N140,LEN(S_InputArk!$N140)-2),Table_Questions[],2,FALSE)</f>
        <v xml:space="preserve">Ledelsessystem (4.4) - Ad-hoc - Drift </v>
      </c>
    </row>
    <row r="141" spans="14:16" x14ac:dyDescent="0.25">
      <c r="N141" s="107" t="str">
        <f t="shared" si="2"/>
        <v>5.d2</v>
      </c>
      <c r="O141" s="98" t="s">
        <v>5</v>
      </c>
      <c r="P141" s="108" t="str">
        <f>VLOOKUP(LEFT(RIGHT(S_InputArk!$N141,2),1),Table_Kategorisering[],2,FALSE)&amp;" - "&amp;VLOOKUP(VALUE(RIGHT(S_InputArk!$N141,1)),Table_Modenhedsskala[],2,FALSE)&amp;" - "&amp;VLOOKUP(LEFT(S_InputArk!$N141,LEN(S_InputArk!$N141)-2),Table_Questions[],2,FALSE)</f>
        <v xml:space="preserve">Ledelsessystem (4.4) - Gentaget - Drift </v>
      </c>
    </row>
    <row r="142" spans="14:16" x14ac:dyDescent="0.25">
      <c r="N142" s="107" t="str">
        <f t="shared" si="2"/>
        <v>5.d3</v>
      </c>
      <c r="O142" s="98" t="s">
        <v>6</v>
      </c>
      <c r="P142" s="108" t="str">
        <f>VLOOKUP(LEFT(RIGHT(S_InputArk!$N142,2),1),Table_Kategorisering[],2,FALSE)&amp;" - "&amp;VLOOKUP(VALUE(RIGHT(S_InputArk!$N142,1)),Table_Modenhedsskala[],2,FALSE)&amp;" - "&amp;VLOOKUP(LEFT(S_InputArk!$N142,LEN(S_InputArk!$N142)-2),Table_Questions[],2,FALSE)</f>
        <v xml:space="preserve">Ledelsessystem (4.4) - Procesunderstøttet - Drift </v>
      </c>
    </row>
    <row r="143" spans="14:16" x14ac:dyDescent="0.25">
      <c r="N143" s="107" t="str">
        <f t="shared" si="2"/>
        <v>5.d4</v>
      </c>
      <c r="O143" s="98" t="s">
        <v>7</v>
      </c>
      <c r="P143" s="108" t="str">
        <f>VLOOKUP(LEFT(RIGHT(S_InputArk!$N143,2),1),Table_Kategorisering[],2,FALSE)&amp;" - "&amp;VLOOKUP(VALUE(RIGHT(S_InputArk!$N143,1)),Table_Modenhedsskala[],2,FALSE)&amp;" - "&amp;VLOOKUP(LEFT(S_InputArk!$N143,LEN(S_InputArk!$N143)-2),Table_Questions[],2,FALSE)</f>
        <v xml:space="preserve">Ledelsessystem (4.4) - Styret og målbar - Drift </v>
      </c>
    </row>
    <row r="144" spans="14:16" x14ac:dyDescent="0.25">
      <c r="N144" s="107" t="str">
        <f t="shared" si="2"/>
        <v>5.d5</v>
      </c>
      <c r="O144" s="98" t="s">
        <v>14</v>
      </c>
      <c r="P144" s="108" t="str">
        <f>VLOOKUP(LEFT(RIGHT(S_InputArk!$N144,2),1),Table_Kategorisering[],2,FALSE)&amp;" - "&amp;VLOOKUP(VALUE(RIGHT(S_InputArk!$N144,1)),Table_Modenhedsskala[],2,FALSE)&amp;" - "&amp;VLOOKUP(LEFT(S_InputArk!$N144,LEN(S_InputArk!$N144)-2),Table_Questions[],2,FALSE)</f>
        <v xml:space="preserve">Ledelsessystem (4.4) - Optimeret - Drift </v>
      </c>
    </row>
    <row r="145" spans="11:16" x14ac:dyDescent="0.25">
      <c r="N145" s="107" t="str">
        <f t="shared" si="2"/>
        <v>5.e1</v>
      </c>
      <c r="O145" s="98" t="s">
        <v>215</v>
      </c>
      <c r="P145" s="108" t="str">
        <f>VLOOKUP(LEFT(RIGHT(S_InputArk!$N145,2),1),Table_Kategorisering[],2,FALSE)&amp;" - "&amp;VLOOKUP(VALUE(RIGHT(S_InputArk!$N145,1)),Table_Modenhedsskala[],2,FALSE)&amp;" - "&amp;VLOOKUP(LEFT(S_InputArk!$N145,LEN(S_InputArk!$N145)-2),Table_Questions[],2,FALSE)</f>
        <v xml:space="preserve">N/A - Ad-hoc - Drift </v>
      </c>
    </row>
    <row r="146" spans="11:16" x14ac:dyDescent="0.25">
      <c r="N146" s="107" t="str">
        <f t="shared" si="2"/>
        <v>5.e2</v>
      </c>
      <c r="O146" s="98" t="s">
        <v>5</v>
      </c>
      <c r="P146" s="108" t="str">
        <f>VLOOKUP(LEFT(RIGHT(S_InputArk!$N146,2),1),Table_Kategorisering[],2,FALSE)&amp;" - "&amp;VLOOKUP(VALUE(RIGHT(S_InputArk!$N146,1)),Table_Modenhedsskala[],2,FALSE)&amp;" - "&amp;VLOOKUP(LEFT(S_InputArk!$N146,LEN(S_InputArk!$N146)-2),Table_Questions[],2,FALSE)</f>
        <v xml:space="preserve">N/A - Gentaget - Drift </v>
      </c>
    </row>
    <row r="147" spans="11:16" x14ac:dyDescent="0.25">
      <c r="N147" s="107" t="str">
        <f t="shared" si="2"/>
        <v>5.e3</v>
      </c>
      <c r="O147" s="98" t="s">
        <v>6</v>
      </c>
      <c r="P147" s="108" t="str">
        <f>VLOOKUP(LEFT(RIGHT(S_InputArk!$N147,2),1),Table_Kategorisering[],2,FALSE)&amp;" - "&amp;VLOOKUP(VALUE(RIGHT(S_InputArk!$N147,1)),Table_Modenhedsskala[],2,FALSE)&amp;" - "&amp;VLOOKUP(LEFT(S_InputArk!$N147,LEN(S_InputArk!$N147)-2),Table_Questions[],2,FALSE)</f>
        <v xml:space="preserve">N/A - Procesunderstøttet - Drift </v>
      </c>
    </row>
    <row r="148" spans="11:16" x14ac:dyDescent="0.25">
      <c r="K148" s="116"/>
      <c r="N148" s="107" t="str">
        <f t="shared" si="2"/>
        <v>5.e4</v>
      </c>
      <c r="O148" s="98" t="s">
        <v>7</v>
      </c>
      <c r="P148" s="108" t="str">
        <f>VLOOKUP(LEFT(RIGHT(S_InputArk!$N148,2),1),Table_Kategorisering[],2,FALSE)&amp;" - "&amp;VLOOKUP(VALUE(RIGHT(S_InputArk!$N148,1)),Table_Modenhedsskala[],2,FALSE)&amp;" - "&amp;VLOOKUP(LEFT(S_InputArk!$N148,LEN(S_InputArk!$N148)-2),Table_Questions[],2,FALSE)</f>
        <v xml:space="preserve">N/A - Styret og målbar - Drift </v>
      </c>
    </row>
    <row r="149" spans="11:16" x14ac:dyDescent="0.25">
      <c r="K149" s="116"/>
      <c r="N149" s="107" t="str">
        <f t="shared" si="2"/>
        <v>5.e5</v>
      </c>
      <c r="O149" s="98" t="s">
        <v>14</v>
      </c>
      <c r="P149" s="108" t="str">
        <f>VLOOKUP(LEFT(RIGHT(S_InputArk!$N149,2),1),Table_Kategorisering[],2,FALSE)&amp;" - "&amp;VLOOKUP(VALUE(RIGHT(S_InputArk!$N149,1)),Table_Modenhedsskala[],2,FALSE)&amp;" - "&amp;VLOOKUP(LEFT(S_InputArk!$N149,LEN(S_InputArk!$N149)-2),Table_Questions[],2,FALSE)</f>
        <v xml:space="preserve">N/A - Optimeret - Drift </v>
      </c>
    </row>
    <row r="150" spans="11:16" x14ac:dyDescent="0.25">
      <c r="K150" s="116"/>
      <c r="N150" s="107" t="str">
        <f t="shared" si="2"/>
        <v>5.f1</v>
      </c>
      <c r="O150" s="98" t="s">
        <v>123</v>
      </c>
      <c r="P150" s="108" t="str">
        <f>VLOOKUP(LEFT(RIGHT(S_InputArk!$N150,2),1),Table_Kategorisering[],2,FALSE)&amp;" - "&amp;VLOOKUP(VALUE(RIGHT(S_InputArk!$N150,1)),Table_Modenhedsskala[],2,FALSE)&amp;" - "&amp;VLOOKUP(LEFT(S_InputArk!$N150,LEN(S_InputArk!$N150)-2),Table_Questions[],2,FALSE)</f>
        <v xml:space="preserve">N/A - Ad-hoc - Drift </v>
      </c>
    </row>
    <row r="151" spans="11:16" x14ac:dyDescent="0.25">
      <c r="K151" s="116"/>
      <c r="N151" s="107" t="str">
        <f t="shared" si="2"/>
        <v>5.f2</v>
      </c>
      <c r="O151" s="98" t="s">
        <v>123</v>
      </c>
      <c r="P151" s="108" t="str">
        <f>VLOOKUP(LEFT(RIGHT(S_InputArk!$N151,2),1),Table_Kategorisering[],2,FALSE)&amp;" - "&amp;VLOOKUP(VALUE(RIGHT(S_InputArk!$N151,1)),Table_Modenhedsskala[],2,FALSE)&amp;" - "&amp;VLOOKUP(LEFT(S_InputArk!$N151,LEN(S_InputArk!$N151)-2),Table_Questions[],2,FALSE)</f>
        <v xml:space="preserve">N/A - Gentaget - Drift </v>
      </c>
    </row>
    <row r="152" spans="11:16" x14ac:dyDescent="0.25">
      <c r="K152" s="116"/>
      <c r="N152" s="107" t="str">
        <f t="shared" si="2"/>
        <v>5.f3</v>
      </c>
      <c r="O152" s="98" t="s">
        <v>123</v>
      </c>
      <c r="P152" s="108" t="str">
        <f>VLOOKUP(LEFT(RIGHT(S_InputArk!$N152,2),1),Table_Kategorisering[],2,FALSE)&amp;" - "&amp;VLOOKUP(VALUE(RIGHT(S_InputArk!$N152,1)),Table_Modenhedsskala[],2,FALSE)&amp;" - "&amp;VLOOKUP(LEFT(S_InputArk!$N152,LEN(S_InputArk!$N152)-2),Table_Questions[],2,FALSE)</f>
        <v xml:space="preserve">N/A - Procesunderstøttet - Drift </v>
      </c>
    </row>
    <row r="153" spans="11:16" x14ac:dyDescent="0.25">
      <c r="N153" s="107" t="str">
        <f t="shared" si="2"/>
        <v>5.f4</v>
      </c>
      <c r="O153" s="98" t="s">
        <v>123</v>
      </c>
      <c r="P153" s="108" t="str">
        <f>VLOOKUP(LEFT(RIGHT(S_InputArk!$N153,2),1),Table_Kategorisering[],2,FALSE)&amp;" - "&amp;VLOOKUP(VALUE(RIGHT(S_InputArk!$N153,1)),Table_Modenhedsskala[],2,FALSE)&amp;" - "&amp;VLOOKUP(LEFT(S_InputArk!$N153,LEN(S_InputArk!$N153)-2),Table_Questions[],2,FALSE)</f>
        <v xml:space="preserve">N/A - Styret og målbar - Drift </v>
      </c>
    </row>
    <row r="154" spans="11:16" x14ac:dyDescent="0.25">
      <c r="N154" s="107" t="str">
        <f t="shared" si="2"/>
        <v>5.f5</v>
      </c>
      <c r="O154" s="98" t="s">
        <v>123</v>
      </c>
      <c r="P154" s="108" t="str">
        <f>VLOOKUP(LEFT(RIGHT(S_InputArk!$N154,2),1),Table_Kategorisering[],2,FALSE)&amp;" - "&amp;VLOOKUP(VALUE(RIGHT(S_InputArk!$N154,1)),Table_Modenhedsskala[],2,FALSE)&amp;" - "&amp;VLOOKUP(LEFT(S_InputArk!$N154,LEN(S_InputArk!$N154)-2),Table_Questions[],2,FALSE)</f>
        <v xml:space="preserve">N/A - Optimeret - Drift </v>
      </c>
    </row>
    <row r="155" spans="11:16" x14ac:dyDescent="0.25">
      <c r="N155" s="107" t="str">
        <f t="shared" si="2"/>
        <v>6.a1</v>
      </c>
      <c r="O155" s="98" t="s">
        <v>215</v>
      </c>
      <c r="P155" s="108" t="str">
        <f>VLOOKUP(LEFT(RIGHT(S_InputArk!$N155,2),1),Table_Kategorisering[],2,FALSE)&amp;" - "&amp;VLOOKUP(VALUE(RIGHT(S_InputArk!$N155,1)),Table_Modenhedsskala[],2,FALSE)&amp;" - "&amp;VLOOKUP(LEFT(S_InputArk!$N155,LEN(S_InputArk!$N155)-2),Table_Questions[],2,FALSE)</f>
        <v>Kontekst (4.1) - Ad-hoc - Evaluering</v>
      </c>
    </row>
    <row r="156" spans="11:16" x14ac:dyDescent="0.25">
      <c r="N156" s="107" t="str">
        <f t="shared" si="2"/>
        <v>6.a2</v>
      </c>
      <c r="O156" s="98" t="s">
        <v>5</v>
      </c>
      <c r="P156" s="108" t="str">
        <f>VLOOKUP(LEFT(RIGHT(S_InputArk!$N156,2),1),Table_Kategorisering[],2,FALSE)&amp;" - "&amp;VLOOKUP(VALUE(RIGHT(S_InputArk!$N156,1)),Table_Modenhedsskala[],2,FALSE)&amp;" - "&amp;VLOOKUP(LEFT(S_InputArk!$N156,LEN(S_InputArk!$N156)-2),Table_Questions[],2,FALSE)</f>
        <v>Kontekst (4.1) - Gentaget - Evaluering</v>
      </c>
    </row>
    <row r="157" spans="11:16" x14ac:dyDescent="0.25">
      <c r="N157" s="107" t="str">
        <f t="shared" si="2"/>
        <v>6.a3</v>
      </c>
      <c r="O157" s="98" t="s">
        <v>6</v>
      </c>
      <c r="P157" s="108" t="str">
        <f>VLOOKUP(LEFT(RIGHT(S_InputArk!$N157,2),1),Table_Kategorisering[],2,FALSE)&amp;" - "&amp;VLOOKUP(VALUE(RIGHT(S_InputArk!$N157,1)),Table_Modenhedsskala[],2,FALSE)&amp;" - "&amp;VLOOKUP(LEFT(S_InputArk!$N157,LEN(S_InputArk!$N157)-2),Table_Questions[],2,FALSE)</f>
        <v>Kontekst (4.1) - Procesunderstøttet - Evaluering</v>
      </c>
    </row>
    <row r="158" spans="11:16" x14ac:dyDescent="0.25">
      <c r="N158" s="107" t="str">
        <f t="shared" si="2"/>
        <v>6.a4</v>
      </c>
      <c r="O158" s="98" t="s">
        <v>7</v>
      </c>
      <c r="P158" s="108" t="str">
        <f>VLOOKUP(LEFT(RIGHT(S_InputArk!$N158,2),1),Table_Kategorisering[],2,FALSE)&amp;" - "&amp;VLOOKUP(VALUE(RIGHT(S_InputArk!$N158,1)),Table_Modenhedsskala[],2,FALSE)&amp;" - "&amp;VLOOKUP(LEFT(S_InputArk!$N158,LEN(S_InputArk!$N158)-2),Table_Questions[],2,FALSE)</f>
        <v>Kontekst (4.1) - Styret og målbar - Evaluering</v>
      </c>
    </row>
    <row r="159" spans="11:16" x14ac:dyDescent="0.25">
      <c r="N159" s="107" t="str">
        <f t="shared" si="2"/>
        <v>6.a5</v>
      </c>
      <c r="O159" s="98" t="s">
        <v>14</v>
      </c>
      <c r="P159" s="108" t="str">
        <f>VLOOKUP(LEFT(RIGHT(S_InputArk!$N159,2),1),Table_Kategorisering[],2,FALSE)&amp;" - "&amp;VLOOKUP(VALUE(RIGHT(S_InputArk!$N159,1)),Table_Modenhedsskala[],2,FALSE)&amp;" - "&amp;VLOOKUP(LEFT(S_InputArk!$N159,LEN(S_InputArk!$N159)-2),Table_Questions[],2,FALSE)</f>
        <v>Kontekst (4.1) - Optimeret - Evaluering</v>
      </c>
    </row>
    <row r="160" spans="11:16" x14ac:dyDescent="0.25">
      <c r="N160" s="107" t="str">
        <f t="shared" si="2"/>
        <v>6.b1</v>
      </c>
      <c r="O160" s="98" t="s">
        <v>215</v>
      </c>
      <c r="P160" s="108" t="str">
        <f>VLOOKUP(LEFT(RIGHT(S_InputArk!$N160,2),1),Table_Kategorisering[],2,FALSE)&amp;" - "&amp;VLOOKUP(VALUE(RIGHT(S_InputArk!$N160,1)),Table_Modenhedsskala[],2,FALSE)&amp;" - "&amp;VLOOKUP(LEFT(S_InputArk!$N160,LEN(S_InputArk!$N160)-2),Table_Questions[],2,FALSE)</f>
        <v>Behov og forventninger (4.2) - Ad-hoc - Evaluering</v>
      </c>
    </row>
    <row r="161" spans="11:16" x14ac:dyDescent="0.25">
      <c r="N161" s="107" t="str">
        <f t="shared" si="2"/>
        <v>6.b2</v>
      </c>
      <c r="O161" s="98" t="s">
        <v>5</v>
      </c>
      <c r="P161" s="108" t="str">
        <f>VLOOKUP(LEFT(RIGHT(S_InputArk!$N161,2),1),Table_Kategorisering[],2,FALSE)&amp;" - "&amp;VLOOKUP(VALUE(RIGHT(S_InputArk!$N161,1)),Table_Modenhedsskala[],2,FALSE)&amp;" - "&amp;VLOOKUP(LEFT(S_InputArk!$N161,LEN(S_InputArk!$N161)-2),Table_Questions[],2,FALSE)</f>
        <v>Behov og forventninger (4.2) - Gentaget - Evaluering</v>
      </c>
    </row>
    <row r="162" spans="11:16" x14ac:dyDescent="0.25">
      <c r="N162" s="107" t="str">
        <f t="shared" si="2"/>
        <v>6.b3</v>
      </c>
      <c r="O162" s="98" t="s">
        <v>6</v>
      </c>
      <c r="P162" s="108" t="str">
        <f>VLOOKUP(LEFT(RIGHT(S_InputArk!$N162,2),1),Table_Kategorisering[],2,FALSE)&amp;" - "&amp;VLOOKUP(VALUE(RIGHT(S_InputArk!$N162,1)),Table_Modenhedsskala[],2,FALSE)&amp;" - "&amp;VLOOKUP(LEFT(S_InputArk!$N162,LEN(S_InputArk!$N162)-2),Table_Questions[],2,FALSE)</f>
        <v>Behov og forventninger (4.2) - Procesunderstøttet - Evaluering</v>
      </c>
    </row>
    <row r="163" spans="11:16" x14ac:dyDescent="0.25">
      <c r="K163" s="125"/>
      <c r="N163" s="107" t="str">
        <f t="shared" si="2"/>
        <v>6.b4</v>
      </c>
      <c r="O163" s="98" t="s">
        <v>7</v>
      </c>
      <c r="P163" s="108" t="str">
        <f>VLOOKUP(LEFT(RIGHT(S_InputArk!$N163,2),1),Table_Kategorisering[],2,FALSE)&amp;" - "&amp;VLOOKUP(VALUE(RIGHT(S_InputArk!$N163,1)),Table_Modenhedsskala[],2,FALSE)&amp;" - "&amp;VLOOKUP(LEFT(S_InputArk!$N163,LEN(S_InputArk!$N163)-2),Table_Questions[],2,FALSE)</f>
        <v>Behov og forventninger (4.2) - Styret og målbar - Evaluering</v>
      </c>
    </row>
    <row r="164" spans="11:16" x14ac:dyDescent="0.25">
      <c r="K164" s="116"/>
      <c r="N164" s="107" t="str">
        <f t="shared" si="2"/>
        <v>6.b5</v>
      </c>
      <c r="O164" s="98" t="s">
        <v>14</v>
      </c>
      <c r="P164" s="108" t="str">
        <f>VLOOKUP(LEFT(RIGHT(S_InputArk!$N164,2),1),Table_Kategorisering[],2,FALSE)&amp;" - "&amp;VLOOKUP(VALUE(RIGHT(S_InputArk!$N164,1)),Table_Modenhedsskala[],2,FALSE)&amp;" - "&amp;VLOOKUP(LEFT(S_InputArk!$N164,LEN(S_InputArk!$N164)-2),Table_Questions[],2,FALSE)</f>
        <v>Behov og forventninger (4.2) - Optimeret - Evaluering</v>
      </c>
    </row>
    <row r="165" spans="11:16" x14ac:dyDescent="0.25">
      <c r="K165" s="116"/>
      <c r="N165" s="107" t="str">
        <f t="shared" si="2"/>
        <v>6.c1</v>
      </c>
      <c r="O165" s="98" t="s">
        <v>215</v>
      </c>
      <c r="P165" s="108" t="str">
        <f>VLOOKUP(LEFT(RIGHT(S_InputArk!$N165,2),1),Table_Kategorisering[],2,FALSE)&amp;" - "&amp;VLOOKUP(VALUE(RIGHT(S_InputArk!$N165,1)),Table_Modenhedsskala[],2,FALSE)&amp;" - "&amp;VLOOKUP(LEFT(S_InputArk!$N165,LEN(S_InputArk!$N165)-2),Table_Questions[],2,FALSE)</f>
        <v>Omfang (4.3) - Ad-hoc - Evaluering</v>
      </c>
    </row>
    <row r="166" spans="11:16" x14ac:dyDescent="0.25">
      <c r="K166" s="116"/>
      <c r="N166" s="107" t="str">
        <f t="shared" si="2"/>
        <v>6.c2</v>
      </c>
      <c r="O166" s="98" t="s">
        <v>5</v>
      </c>
      <c r="P166" s="108" t="str">
        <f>VLOOKUP(LEFT(RIGHT(S_InputArk!$N166,2),1),Table_Kategorisering[],2,FALSE)&amp;" - "&amp;VLOOKUP(VALUE(RIGHT(S_InputArk!$N166,1)),Table_Modenhedsskala[],2,FALSE)&amp;" - "&amp;VLOOKUP(LEFT(S_InputArk!$N166,LEN(S_InputArk!$N166)-2),Table_Questions[],2,FALSE)</f>
        <v>Omfang (4.3) - Gentaget - Evaluering</v>
      </c>
    </row>
    <row r="167" spans="11:16" x14ac:dyDescent="0.25">
      <c r="K167" s="116"/>
      <c r="N167" s="107" t="str">
        <f t="shared" si="2"/>
        <v>6.c3</v>
      </c>
      <c r="O167" s="98" t="s">
        <v>6</v>
      </c>
      <c r="P167" s="108" t="str">
        <f>VLOOKUP(LEFT(RIGHT(S_InputArk!$N167,2),1),Table_Kategorisering[],2,FALSE)&amp;" - "&amp;VLOOKUP(VALUE(RIGHT(S_InputArk!$N167,1)),Table_Modenhedsskala[],2,FALSE)&amp;" - "&amp;VLOOKUP(LEFT(S_InputArk!$N167,LEN(S_InputArk!$N167)-2),Table_Questions[],2,FALSE)</f>
        <v>Omfang (4.3) - Procesunderstøttet - Evaluering</v>
      </c>
    </row>
    <row r="168" spans="11:16" x14ac:dyDescent="0.25">
      <c r="N168" s="107" t="str">
        <f t="shared" si="2"/>
        <v>6.c4</v>
      </c>
      <c r="O168" s="98" t="s">
        <v>7</v>
      </c>
      <c r="P168" s="108" t="str">
        <f>VLOOKUP(LEFT(RIGHT(S_InputArk!$N168,2),1),Table_Kategorisering[],2,FALSE)&amp;" - "&amp;VLOOKUP(VALUE(RIGHT(S_InputArk!$N168,1)),Table_Modenhedsskala[],2,FALSE)&amp;" - "&amp;VLOOKUP(LEFT(S_InputArk!$N168,LEN(S_InputArk!$N168)-2),Table_Questions[],2,FALSE)</f>
        <v>Omfang (4.3) - Styret og målbar - Evaluering</v>
      </c>
    </row>
    <row r="169" spans="11:16" x14ac:dyDescent="0.25">
      <c r="N169" s="107" t="str">
        <f t="shared" si="2"/>
        <v>6.c5</v>
      </c>
      <c r="O169" s="98" t="s">
        <v>14</v>
      </c>
      <c r="P169" s="108" t="str">
        <f>VLOOKUP(LEFT(RIGHT(S_InputArk!$N169,2),1),Table_Kategorisering[],2,FALSE)&amp;" - "&amp;VLOOKUP(VALUE(RIGHT(S_InputArk!$N169,1)),Table_Modenhedsskala[],2,FALSE)&amp;" - "&amp;VLOOKUP(LEFT(S_InputArk!$N169,LEN(S_InputArk!$N169)-2),Table_Questions[],2,FALSE)</f>
        <v>Omfang (4.3) - Optimeret - Evaluering</v>
      </c>
    </row>
    <row r="170" spans="11:16" x14ac:dyDescent="0.25">
      <c r="N170" s="107" t="str">
        <f t="shared" si="2"/>
        <v>6.d1</v>
      </c>
      <c r="O170" s="98" t="s">
        <v>215</v>
      </c>
      <c r="P170" s="108" t="str">
        <f>VLOOKUP(LEFT(RIGHT(S_InputArk!$N170,2),1),Table_Kategorisering[],2,FALSE)&amp;" - "&amp;VLOOKUP(VALUE(RIGHT(S_InputArk!$N170,1)),Table_Modenhedsskala[],2,FALSE)&amp;" - "&amp;VLOOKUP(LEFT(S_InputArk!$N170,LEN(S_InputArk!$N170)-2),Table_Questions[],2,FALSE)</f>
        <v>Ledelsessystem (4.4) - Ad-hoc - Evaluering</v>
      </c>
    </row>
    <row r="171" spans="11:16" x14ac:dyDescent="0.25">
      <c r="N171" s="107" t="str">
        <f t="shared" si="2"/>
        <v>6.d2</v>
      </c>
      <c r="O171" s="98" t="s">
        <v>5</v>
      </c>
      <c r="P171" s="108" t="str">
        <f>VLOOKUP(LEFT(RIGHT(S_InputArk!$N171,2),1),Table_Kategorisering[],2,FALSE)&amp;" - "&amp;VLOOKUP(VALUE(RIGHT(S_InputArk!$N171,1)),Table_Modenhedsskala[],2,FALSE)&amp;" - "&amp;VLOOKUP(LEFT(S_InputArk!$N171,LEN(S_InputArk!$N171)-2),Table_Questions[],2,FALSE)</f>
        <v>Ledelsessystem (4.4) - Gentaget - Evaluering</v>
      </c>
    </row>
    <row r="172" spans="11:16" x14ac:dyDescent="0.25">
      <c r="N172" s="107" t="str">
        <f t="shared" si="2"/>
        <v>6.d3</v>
      </c>
      <c r="O172" s="98" t="s">
        <v>6</v>
      </c>
      <c r="P172" s="108" t="str">
        <f>VLOOKUP(LEFT(RIGHT(S_InputArk!$N172,2),1),Table_Kategorisering[],2,FALSE)&amp;" - "&amp;VLOOKUP(VALUE(RIGHT(S_InputArk!$N172,1)),Table_Modenhedsskala[],2,FALSE)&amp;" - "&amp;VLOOKUP(LEFT(S_InputArk!$N172,LEN(S_InputArk!$N172)-2),Table_Questions[],2,FALSE)</f>
        <v>Ledelsessystem (4.4) - Procesunderstøttet - Evaluering</v>
      </c>
    </row>
    <row r="173" spans="11:16" x14ac:dyDescent="0.25">
      <c r="N173" s="107" t="str">
        <f t="shared" si="2"/>
        <v>6.d4</v>
      </c>
      <c r="O173" s="98" t="s">
        <v>7</v>
      </c>
      <c r="P173" s="108" t="str">
        <f>VLOOKUP(LEFT(RIGHT(S_InputArk!$N173,2),1),Table_Kategorisering[],2,FALSE)&amp;" - "&amp;VLOOKUP(VALUE(RIGHT(S_InputArk!$N173,1)),Table_Modenhedsskala[],2,FALSE)&amp;" - "&amp;VLOOKUP(LEFT(S_InputArk!$N173,LEN(S_InputArk!$N173)-2),Table_Questions[],2,FALSE)</f>
        <v>Ledelsessystem (4.4) - Styret og målbar - Evaluering</v>
      </c>
    </row>
    <row r="174" spans="11:16" x14ac:dyDescent="0.25">
      <c r="N174" s="107" t="str">
        <f t="shared" si="2"/>
        <v>6.d5</v>
      </c>
      <c r="O174" s="98" t="s">
        <v>14</v>
      </c>
      <c r="P174" s="108" t="str">
        <f>VLOOKUP(LEFT(RIGHT(S_InputArk!$N174,2),1),Table_Kategorisering[],2,FALSE)&amp;" - "&amp;VLOOKUP(VALUE(RIGHT(S_InputArk!$N174,1)),Table_Modenhedsskala[],2,FALSE)&amp;" - "&amp;VLOOKUP(LEFT(S_InputArk!$N174,LEN(S_InputArk!$N174)-2),Table_Questions[],2,FALSE)</f>
        <v>Ledelsessystem (4.4) - Optimeret - Evaluering</v>
      </c>
    </row>
    <row r="175" spans="11:16" x14ac:dyDescent="0.25">
      <c r="N175" s="107" t="str">
        <f t="shared" si="2"/>
        <v>6.e1</v>
      </c>
      <c r="O175" s="98" t="s">
        <v>123</v>
      </c>
      <c r="P175" s="108" t="str">
        <f>VLOOKUP(LEFT(RIGHT(S_InputArk!$N175,2),1),Table_Kategorisering[],2,FALSE)&amp;" - "&amp;VLOOKUP(VALUE(RIGHT(S_InputArk!$N175,1)),Table_Modenhedsskala[],2,FALSE)&amp;" - "&amp;VLOOKUP(LEFT(S_InputArk!$N175,LEN(S_InputArk!$N175)-2),Table_Questions[],2,FALSE)</f>
        <v>N/A - Ad-hoc - Evaluering</v>
      </c>
    </row>
    <row r="176" spans="11:16" x14ac:dyDescent="0.25">
      <c r="N176" s="107" t="str">
        <f t="shared" si="2"/>
        <v>6.e2</v>
      </c>
      <c r="O176" s="98" t="s">
        <v>123</v>
      </c>
      <c r="P176" s="108" t="str">
        <f>VLOOKUP(LEFT(RIGHT(S_InputArk!$N176,2),1),Table_Kategorisering[],2,FALSE)&amp;" - "&amp;VLOOKUP(VALUE(RIGHT(S_InputArk!$N176,1)),Table_Modenhedsskala[],2,FALSE)&amp;" - "&amp;VLOOKUP(LEFT(S_InputArk!$N176,LEN(S_InputArk!$N176)-2),Table_Questions[],2,FALSE)</f>
        <v>N/A - Gentaget - Evaluering</v>
      </c>
    </row>
    <row r="177" spans="14:16" x14ac:dyDescent="0.25">
      <c r="N177" s="107" t="str">
        <f t="shared" si="2"/>
        <v>6.e3</v>
      </c>
      <c r="O177" s="98" t="s">
        <v>123</v>
      </c>
      <c r="P177" s="108" t="str">
        <f>VLOOKUP(LEFT(RIGHT(S_InputArk!$N177,2),1),Table_Kategorisering[],2,FALSE)&amp;" - "&amp;VLOOKUP(VALUE(RIGHT(S_InputArk!$N177,1)),Table_Modenhedsskala[],2,FALSE)&amp;" - "&amp;VLOOKUP(LEFT(S_InputArk!$N177,LEN(S_InputArk!$N177)-2),Table_Questions[],2,FALSE)</f>
        <v>N/A - Procesunderstøttet - Evaluering</v>
      </c>
    </row>
    <row r="178" spans="14:16" x14ac:dyDescent="0.25">
      <c r="N178" s="107" t="str">
        <f t="shared" si="2"/>
        <v>6.e4</v>
      </c>
      <c r="O178" s="98" t="s">
        <v>123</v>
      </c>
      <c r="P178" s="108" t="str">
        <f>VLOOKUP(LEFT(RIGHT(S_InputArk!$N178,2),1),Table_Kategorisering[],2,FALSE)&amp;" - "&amp;VLOOKUP(VALUE(RIGHT(S_InputArk!$N178,1)),Table_Modenhedsskala[],2,FALSE)&amp;" - "&amp;VLOOKUP(LEFT(S_InputArk!$N178,LEN(S_InputArk!$N178)-2),Table_Questions[],2,FALSE)</f>
        <v>N/A - Styret og målbar - Evaluering</v>
      </c>
    </row>
    <row r="179" spans="14:16" x14ac:dyDescent="0.25">
      <c r="N179" s="107" t="str">
        <f t="shared" si="2"/>
        <v>6.e5</v>
      </c>
      <c r="O179" s="98" t="s">
        <v>123</v>
      </c>
      <c r="P179" s="108" t="str">
        <f>VLOOKUP(LEFT(RIGHT(S_InputArk!$N179,2),1),Table_Kategorisering[],2,FALSE)&amp;" - "&amp;VLOOKUP(VALUE(RIGHT(S_InputArk!$N179,1)),Table_Modenhedsskala[],2,FALSE)&amp;" - "&amp;VLOOKUP(LEFT(S_InputArk!$N179,LEN(S_InputArk!$N179)-2),Table_Questions[],2,FALSE)</f>
        <v>N/A - Optimeret - Evaluering</v>
      </c>
    </row>
    <row r="180" spans="14:16" x14ac:dyDescent="0.25">
      <c r="N180" s="107" t="str">
        <f t="shared" si="2"/>
        <v>6.f1</v>
      </c>
      <c r="O180" s="98" t="s">
        <v>123</v>
      </c>
      <c r="P180" s="108" t="str">
        <f>VLOOKUP(LEFT(RIGHT(S_InputArk!$N180,2),1),Table_Kategorisering[],2,FALSE)&amp;" - "&amp;VLOOKUP(VALUE(RIGHT(S_InputArk!$N180,1)),Table_Modenhedsskala[],2,FALSE)&amp;" - "&amp;VLOOKUP(LEFT(S_InputArk!$N180,LEN(S_InputArk!$N180)-2),Table_Questions[],2,FALSE)</f>
        <v>N/A - Ad-hoc - Evaluering</v>
      </c>
    </row>
    <row r="181" spans="14:16" x14ac:dyDescent="0.25">
      <c r="N181" s="107" t="str">
        <f t="shared" si="2"/>
        <v>6.f2</v>
      </c>
      <c r="O181" s="98" t="s">
        <v>123</v>
      </c>
      <c r="P181" s="108" t="str">
        <f>VLOOKUP(LEFT(RIGHT(S_InputArk!$N181,2),1),Table_Kategorisering[],2,FALSE)&amp;" - "&amp;VLOOKUP(VALUE(RIGHT(S_InputArk!$N181,1)),Table_Modenhedsskala[],2,FALSE)&amp;" - "&amp;VLOOKUP(LEFT(S_InputArk!$N181,LEN(S_InputArk!$N181)-2),Table_Questions[],2,FALSE)</f>
        <v>N/A - Gentaget - Evaluering</v>
      </c>
    </row>
    <row r="182" spans="14:16" x14ac:dyDescent="0.25">
      <c r="N182" s="107" t="str">
        <f t="shared" si="2"/>
        <v>6.f3</v>
      </c>
      <c r="O182" s="98" t="s">
        <v>123</v>
      </c>
      <c r="P182" s="108" t="str">
        <f>VLOOKUP(LEFT(RIGHT(S_InputArk!$N182,2),1),Table_Kategorisering[],2,FALSE)&amp;" - "&amp;VLOOKUP(VALUE(RIGHT(S_InputArk!$N182,1)),Table_Modenhedsskala[],2,FALSE)&amp;" - "&amp;VLOOKUP(LEFT(S_InputArk!$N182,LEN(S_InputArk!$N182)-2),Table_Questions[],2,FALSE)</f>
        <v>N/A - Procesunderstøttet - Evaluering</v>
      </c>
    </row>
    <row r="183" spans="14:16" x14ac:dyDescent="0.25">
      <c r="N183" s="107" t="str">
        <f t="shared" si="2"/>
        <v>6.f4</v>
      </c>
      <c r="O183" s="98" t="s">
        <v>123</v>
      </c>
      <c r="P183" s="108" t="str">
        <f>VLOOKUP(LEFT(RIGHT(S_InputArk!$N183,2),1),Table_Kategorisering[],2,FALSE)&amp;" - "&amp;VLOOKUP(VALUE(RIGHT(S_InputArk!$N183,1)),Table_Modenhedsskala[],2,FALSE)&amp;" - "&amp;VLOOKUP(LEFT(S_InputArk!$N183,LEN(S_InputArk!$N183)-2),Table_Questions[],2,FALSE)</f>
        <v>N/A - Styret og målbar - Evaluering</v>
      </c>
    </row>
    <row r="184" spans="14:16" x14ac:dyDescent="0.25">
      <c r="N184" s="107" t="str">
        <f t="shared" si="2"/>
        <v>6.f5</v>
      </c>
      <c r="O184" s="98" t="s">
        <v>123</v>
      </c>
      <c r="P184" s="108" t="str">
        <f>VLOOKUP(LEFT(RIGHT(S_InputArk!$N184,2),1),Table_Kategorisering[],2,FALSE)&amp;" - "&amp;VLOOKUP(VALUE(RIGHT(S_InputArk!$N184,1)),Table_Modenhedsskala[],2,FALSE)&amp;" - "&amp;VLOOKUP(LEFT(S_InputArk!$N184,LEN(S_InputArk!$N184)-2),Table_Questions[],2,FALSE)</f>
        <v>N/A - Optimeret - Evaluering</v>
      </c>
    </row>
    <row r="185" spans="14:16" x14ac:dyDescent="0.25">
      <c r="N185" s="107" t="str">
        <f t="shared" si="2"/>
        <v>7.a1</v>
      </c>
      <c r="O185" s="98" t="s">
        <v>215</v>
      </c>
      <c r="P185" s="108" t="str">
        <f>VLOOKUP(LEFT(RIGHT(S_InputArk!$N185,2),1),Table_Kategorisering[],2,FALSE)&amp;" - "&amp;VLOOKUP(VALUE(RIGHT(S_InputArk!$N185,1)),Table_Modenhedsskala[],2,FALSE)&amp;" - "&amp;VLOOKUP(LEFT(S_InputArk!$N185,LEN(S_InputArk!$N185)-2),Table_Questions[],2,FALSE)</f>
        <v>Kontekst (4.1) - Ad-hoc - Løbende forbedringer</v>
      </c>
    </row>
    <row r="186" spans="14:16" x14ac:dyDescent="0.25">
      <c r="N186" s="107" t="str">
        <f t="shared" si="2"/>
        <v>7.a2</v>
      </c>
      <c r="O186" s="98" t="s">
        <v>5</v>
      </c>
      <c r="P186" s="108" t="str">
        <f>VLOOKUP(LEFT(RIGHT(S_InputArk!$N186,2),1),Table_Kategorisering[],2,FALSE)&amp;" - "&amp;VLOOKUP(VALUE(RIGHT(S_InputArk!$N186,1)),Table_Modenhedsskala[],2,FALSE)&amp;" - "&amp;VLOOKUP(LEFT(S_InputArk!$N186,LEN(S_InputArk!$N186)-2),Table_Questions[],2,FALSE)</f>
        <v>Kontekst (4.1) - Gentaget - Løbende forbedringer</v>
      </c>
    </row>
    <row r="187" spans="14:16" x14ac:dyDescent="0.25">
      <c r="N187" s="107" t="str">
        <f t="shared" si="2"/>
        <v>7.a3</v>
      </c>
      <c r="O187" s="98" t="s">
        <v>6</v>
      </c>
      <c r="P187" s="108" t="str">
        <f>VLOOKUP(LEFT(RIGHT(S_InputArk!$N187,2),1),Table_Kategorisering[],2,FALSE)&amp;" - "&amp;VLOOKUP(VALUE(RIGHT(S_InputArk!$N187,1)),Table_Modenhedsskala[],2,FALSE)&amp;" - "&amp;VLOOKUP(LEFT(S_InputArk!$N187,LEN(S_InputArk!$N187)-2),Table_Questions[],2,FALSE)</f>
        <v>Kontekst (4.1) - Procesunderstøttet - Løbende forbedringer</v>
      </c>
    </row>
    <row r="188" spans="14:16" x14ac:dyDescent="0.25">
      <c r="N188" s="107" t="str">
        <f t="shared" si="2"/>
        <v>7.a4</v>
      </c>
      <c r="O188" s="98" t="s">
        <v>7</v>
      </c>
      <c r="P188" s="108" t="str">
        <f>VLOOKUP(LEFT(RIGHT(S_InputArk!$N188,2),1),Table_Kategorisering[],2,FALSE)&amp;" - "&amp;VLOOKUP(VALUE(RIGHT(S_InputArk!$N188,1)),Table_Modenhedsskala[],2,FALSE)&amp;" - "&amp;VLOOKUP(LEFT(S_InputArk!$N188,LEN(S_InputArk!$N188)-2),Table_Questions[],2,FALSE)</f>
        <v>Kontekst (4.1) - Styret og målbar - Løbende forbedringer</v>
      </c>
    </row>
    <row r="189" spans="14:16" x14ac:dyDescent="0.25">
      <c r="N189" s="107" t="str">
        <f t="shared" si="2"/>
        <v>7.a5</v>
      </c>
      <c r="O189" s="98" t="s">
        <v>14</v>
      </c>
      <c r="P189" s="108" t="str">
        <f>VLOOKUP(LEFT(RIGHT(S_InputArk!$N189,2),1),Table_Kategorisering[],2,FALSE)&amp;" - "&amp;VLOOKUP(VALUE(RIGHT(S_InputArk!$N189,1)),Table_Modenhedsskala[],2,FALSE)&amp;" - "&amp;VLOOKUP(LEFT(S_InputArk!$N189,LEN(S_InputArk!$N189)-2),Table_Questions[],2,FALSE)</f>
        <v>Kontekst (4.1) - Optimeret - Løbende forbedringer</v>
      </c>
    </row>
    <row r="190" spans="14:16" x14ac:dyDescent="0.25">
      <c r="N190" s="107" t="str">
        <f t="shared" si="2"/>
        <v>7.b1</v>
      </c>
      <c r="O190" s="98" t="s">
        <v>215</v>
      </c>
      <c r="P190" s="108" t="str">
        <f>VLOOKUP(LEFT(RIGHT(S_InputArk!$N190,2),1),Table_Kategorisering[],2,FALSE)&amp;" - "&amp;VLOOKUP(VALUE(RIGHT(S_InputArk!$N190,1)),Table_Modenhedsskala[],2,FALSE)&amp;" - "&amp;VLOOKUP(LEFT(S_InputArk!$N190,LEN(S_InputArk!$N190)-2),Table_Questions[],2,FALSE)</f>
        <v>Behov og forventninger (4.2) - Ad-hoc - Løbende forbedringer</v>
      </c>
    </row>
    <row r="191" spans="14:16" x14ac:dyDescent="0.25">
      <c r="N191" s="107" t="str">
        <f t="shared" si="2"/>
        <v>7.b2</v>
      </c>
      <c r="O191" s="98" t="s">
        <v>5</v>
      </c>
      <c r="P191" s="108" t="str">
        <f>VLOOKUP(LEFT(RIGHT(S_InputArk!$N191,2),1),Table_Kategorisering[],2,FALSE)&amp;" - "&amp;VLOOKUP(VALUE(RIGHT(S_InputArk!$N191,1)),Table_Modenhedsskala[],2,FALSE)&amp;" - "&amp;VLOOKUP(LEFT(S_InputArk!$N191,LEN(S_InputArk!$N191)-2),Table_Questions[],2,FALSE)</f>
        <v>Behov og forventninger (4.2) - Gentaget - Løbende forbedringer</v>
      </c>
    </row>
    <row r="192" spans="14:16" x14ac:dyDescent="0.25">
      <c r="N192" s="107" t="str">
        <f t="shared" si="2"/>
        <v>7.b3</v>
      </c>
      <c r="O192" s="98" t="s">
        <v>6</v>
      </c>
      <c r="P192" s="108" t="str">
        <f>VLOOKUP(LEFT(RIGHT(S_InputArk!$N192,2),1),Table_Kategorisering[],2,FALSE)&amp;" - "&amp;VLOOKUP(VALUE(RIGHT(S_InputArk!$N192,1)),Table_Modenhedsskala[],2,FALSE)&amp;" - "&amp;VLOOKUP(LEFT(S_InputArk!$N192,LEN(S_InputArk!$N192)-2),Table_Questions[],2,FALSE)</f>
        <v>Behov og forventninger (4.2) - Procesunderstøttet - Løbende forbedringer</v>
      </c>
    </row>
    <row r="193" spans="14:16" x14ac:dyDescent="0.25">
      <c r="N193" s="107" t="str">
        <f t="shared" si="2"/>
        <v>7.b4</v>
      </c>
      <c r="O193" s="98" t="s">
        <v>7</v>
      </c>
      <c r="P193" s="108" t="str">
        <f>VLOOKUP(LEFT(RIGHT(S_InputArk!$N193,2),1),Table_Kategorisering[],2,FALSE)&amp;" - "&amp;VLOOKUP(VALUE(RIGHT(S_InputArk!$N193,1)),Table_Modenhedsskala[],2,FALSE)&amp;" - "&amp;VLOOKUP(LEFT(S_InputArk!$N193,LEN(S_InputArk!$N193)-2),Table_Questions[],2,FALSE)</f>
        <v>Behov og forventninger (4.2) - Styret og målbar - Løbende forbedringer</v>
      </c>
    </row>
    <row r="194" spans="14:16" x14ac:dyDescent="0.25">
      <c r="N194" s="107" t="str">
        <f t="shared" si="2"/>
        <v>7.b5</v>
      </c>
      <c r="O194" s="98" t="s">
        <v>14</v>
      </c>
      <c r="P194" s="108" t="str">
        <f>VLOOKUP(LEFT(RIGHT(S_InputArk!$N194,2),1),Table_Kategorisering[],2,FALSE)&amp;" - "&amp;VLOOKUP(VALUE(RIGHT(S_InputArk!$N194,1)),Table_Modenhedsskala[],2,FALSE)&amp;" - "&amp;VLOOKUP(LEFT(S_InputArk!$N194,LEN(S_InputArk!$N194)-2),Table_Questions[],2,FALSE)</f>
        <v>Behov og forventninger (4.2) - Optimeret - Løbende forbedringer</v>
      </c>
    </row>
    <row r="195" spans="14:16" x14ac:dyDescent="0.25">
      <c r="N195" s="107" t="str">
        <f t="shared" si="2"/>
        <v>7.c1</v>
      </c>
      <c r="O195" s="98" t="s">
        <v>123</v>
      </c>
      <c r="P195" s="108" t="str">
        <f>VLOOKUP(LEFT(RIGHT(S_InputArk!$N195,2),1),Table_Kategorisering[],2,FALSE)&amp;" - "&amp;VLOOKUP(VALUE(RIGHT(S_InputArk!$N195,1)),Table_Modenhedsskala[],2,FALSE)&amp;" - "&amp;VLOOKUP(LEFT(S_InputArk!$N195,LEN(S_InputArk!$N195)-2),Table_Questions[],2,FALSE)</f>
        <v>Omfang (4.3) - Ad-hoc - Løbende forbedringer</v>
      </c>
    </row>
    <row r="196" spans="14:16" x14ac:dyDescent="0.25">
      <c r="N196" s="107" t="str">
        <f t="shared" si="2"/>
        <v>7.c2</v>
      </c>
      <c r="O196" s="98" t="s">
        <v>123</v>
      </c>
      <c r="P196" s="108" t="str">
        <f>VLOOKUP(LEFT(RIGHT(S_InputArk!$N196,2),1),Table_Kategorisering[],2,FALSE)&amp;" - "&amp;VLOOKUP(VALUE(RIGHT(S_InputArk!$N196,1)),Table_Modenhedsskala[],2,FALSE)&amp;" - "&amp;VLOOKUP(LEFT(S_InputArk!$N196,LEN(S_InputArk!$N196)-2),Table_Questions[],2,FALSE)</f>
        <v>Omfang (4.3) - Gentaget - Løbende forbedringer</v>
      </c>
    </row>
    <row r="197" spans="14:16" x14ac:dyDescent="0.25">
      <c r="N197" s="107" t="str">
        <f t="shared" ref="N197:N260" si="3">ROUNDUP(ROW($N193)/30,0)&amp;"."&amp;
CHOOSE(IF(
MOD(ROUNDUP(ROW($N193)/5,0),6)=0,6,MOD(ROUNDUP(ROW($N193)/5,0),6)),"a","b","c","d","e","f")&amp;
IF(MOD(ROW($N193),5)=0,5,MOD(ROW($N193),5))</f>
        <v>7.c3</v>
      </c>
      <c r="O197" s="98" t="s">
        <v>123</v>
      </c>
      <c r="P197" s="108" t="str">
        <f>VLOOKUP(LEFT(RIGHT(S_InputArk!$N197,2),1),Table_Kategorisering[],2,FALSE)&amp;" - "&amp;VLOOKUP(VALUE(RIGHT(S_InputArk!$N197,1)),Table_Modenhedsskala[],2,FALSE)&amp;" - "&amp;VLOOKUP(LEFT(S_InputArk!$N197,LEN(S_InputArk!$N197)-2),Table_Questions[],2,FALSE)</f>
        <v>Omfang (4.3) - Procesunderstøttet - Løbende forbedringer</v>
      </c>
    </row>
    <row r="198" spans="14:16" x14ac:dyDescent="0.25">
      <c r="N198" s="107" t="str">
        <f t="shared" si="3"/>
        <v>7.c4</v>
      </c>
      <c r="O198" s="98" t="s">
        <v>123</v>
      </c>
      <c r="P198" s="108" t="str">
        <f>VLOOKUP(LEFT(RIGHT(S_InputArk!$N198,2),1),Table_Kategorisering[],2,FALSE)&amp;" - "&amp;VLOOKUP(VALUE(RIGHT(S_InputArk!$N198,1)),Table_Modenhedsskala[],2,FALSE)&amp;" - "&amp;VLOOKUP(LEFT(S_InputArk!$N198,LEN(S_InputArk!$N198)-2),Table_Questions[],2,FALSE)</f>
        <v>Omfang (4.3) - Styret og målbar - Løbende forbedringer</v>
      </c>
    </row>
    <row r="199" spans="14:16" x14ac:dyDescent="0.25">
      <c r="N199" s="107" t="str">
        <f t="shared" si="3"/>
        <v>7.c5</v>
      </c>
      <c r="O199" s="98" t="s">
        <v>123</v>
      </c>
      <c r="P199" s="108" t="str">
        <f>VLOOKUP(LEFT(RIGHT(S_InputArk!$N199,2),1),Table_Kategorisering[],2,FALSE)&amp;" - "&amp;VLOOKUP(VALUE(RIGHT(S_InputArk!$N199,1)),Table_Modenhedsskala[],2,FALSE)&amp;" - "&amp;VLOOKUP(LEFT(S_InputArk!$N199,LEN(S_InputArk!$N199)-2),Table_Questions[],2,FALSE)</f>
        <v>Omfang (4.3) - Optimeret - Løbende forbedringer</v>
      </c>
    </row>
    <row r="200" spans="14:16" x14ac:dyDescent="0.25">
      <c r="N200" s="107" t="str">
        <f t="shared" si="3"/>
        <v>7.d1</v>
      </c>
      <c r="O200" s="98" t="s">
        <v>123</v>
      </c>
      <c r="P200" s="108" t="str">
        <f>VLOOKUP(LEFT(RIGHT(S_InputArk!$N200,2),1),Table_Kategorisering[],2,FALSE)&amp;" - "&amp;VLOOKUP(VALUE(RIGHT(S_InputArk!$N200,1)),Table_Modenhedsskala[],2,FALSE)&amp;" - "&amp;VLOOKUP(LEFT(S_InputArk!$N200,LEN(S_InputArk!$N200)-2),Table_Questions[],2,FALSE)</f>
        <v>Ledelsessystem (4.4) - Ad-hoc - Løbende forbedringer</v>
      </c>
    </row>
    <row r="201" spans="14:16" x14ac:dyDescent="0.25">
      <c r="N201" s="107" t="str">
        <f t="shared" si="3"/>
        <v>7.d2</v>
      </c>
      <c r="O201" s="98" t="s">
        <v>123</v>
      </c>
      <c r="P201" s="108" t="str">
        <f>VLOOKUP(LEFT(RIGHT(S_InputArk!$N201,2),1),Table_Kategorisering[],2,FALSE)&amp;" - "&amp;VLOOKUP(VALUE(RIGHT(S_InputArk!$N201,1)),Table_Modenhedsskala[],2,FALSE)&amp;" - "&amp;VLOOKUP(LEFT(S_InputArk!$N201,LEN(S_InputArk!$N201)-2),Table_Questions[],2,FALSE)</f>
        <v>Ledelsessystem (4.4) - Gentaget - Løbende forbedringer</v>
      </c>
    </row>
    <row r="202" spans="14:16" x14ac:dyDescent="0.25">
      <c r="N202" s="107" t="str">
        <f t="shared" si="3"/>
        <v>7.d3</v>
      </c>
      <c r="O202" s="98" t="s">
        <v>123</v>
      </c>
      <c r="P202" s="108" t="str">
        <f>VLOOKUP(LEFT(RIGHT(S_InputArk!$N202,2),1),Table_Kategorisering[],2,FALSE)&amp;" - "&amp;VLOOKUP(VALUE(RIGHT(S_InputArk!$N202,1)),Table_Modenhedsskala[],2,FALSE)&amp;" - "&amp;VLOOKUP(LEFT(S_InputArk!$N202,LEN(S_InputArk!$N202)-2),Table_Questions[],2,FALSE)</f>
        <v>Ledelsessystem (4.4) - Procesunderstøttet - Løbende forbedringer</v>
      </c>
    </row>
    <row r="203" spans="14:16" x14ac:dyDescent="0.25">
      <c r="N203" s="107" t="str">
        <f t="shared" si="3"/>
        <v>7.d4</v>
      </c>
      <c r="O203" s="98" t="s">
        <v>123</v>
      </c>
      <c r="P203" s="108" t="str">
        <f>VLOOKUP(LEFT(RIGHT(S_InputArk!$N203,2),1),Table_Kategorisering[],2,FALSE)&amp;" - "&amp;VLOOKUP(VALUE(RIGHT(S_InputArk!$N203,1)),Table_Modenhedsskala[],2,FALSE)&amp;" - "&amp;VLOOKUP(LEFT(S_InputArk!$N203,LEN(S_InputArk!$N203)-2),Table_Questions[],2,FALSE)</f>
        <v>Ledelsessystem (4.4) - Styret og målbar - Løbende forbedringer</v>
      </c>
    </row>
    <row r="204" spans="14:16" x14ac:dyDescent="0.25">
      <c r="N204" s="107" t="str">
        <f t="shared" si="3"/>
        <v>7.d5</v>
      </c>
      <c r="O204" s="98" t="s">
        <v>123</v>
      </c>
      <c r="P204" s="108" t="str">
        <f>VLOOKUP(LEFT(RIGHT(S_InputArk!$N204,2),1),Table_Kategorisering[],2,FALSE)&amp;" - "&amp;VLOOKUP(VALUE(RIGHT(S_InputArk!$N204,1)),Table_Modenhedsskala[],2,FALSE)&amp;" - "&amp;VLOOKUP(LEFT(S_InputArk!$N204,LEN(S_InputArk!$N204)-2),Table_Questions[],2,FALSE)</f>
        <v>Ledelsessystem (4.4) - Optimeret - Løbende forbedringer</v>
      </c>
    </row>
    <row r="205" spans="14:16" x14ac:dyDescent="0.25">
      <c r="N205" s="107" t="str">
        <f t="shared" si="3"/>
        <v>7.e1</v>
      </c>
      <c r="O205" s="98" t="s">
        <v>123</v>
      </c>
      <c r="P205" s="108" t="str">
        <f>VLOOKUP(LEFT(RIGHT(S_InputArk!$N205,2),1),Table_Kategorisering[],2,FALSE)&amp;" - "&amp;VLOOKUP(VALUE(RIGHT(S_InputArk!$N205,1)),Table_Modenhedsskala[],2,FALSE)&amp;" - "&amp;VLOOKUP(LEFT(S_InputArk!$N205,LEN(S_InputArk!$N205)-2),Table_Questions[],2,FALSE)</f>
        <v>N/A - Ad-hoc - Løbende forbedringer</v>
      </c>
    </row>
    <row r="206" spans="14:16" x14ac:dyDescent="0.25">
      <c r="N206" s="107" t="str">
        <f t="shared" si="3"/>
        <v>7.e2</v>
      </c>
      <c r="O206" s="98" t="s">
        <v>123</v>
      </c>
      <c r="P206" s="108" t="str">
        <f>VLOOKUP(LEFT(RIGHT(S_InputArk!$N206,2),1),Table_Kategorisering[],2,FALSE)&amp;" - "&amp;VLOOKUP(VALUE(RIGHT(S_InputArk!$N206,1)),Table_Modenhedsskala[],2,FALSE)&amp;" - "&amp;VLOOKUP(LEFT(S_InputArk!$N206,LEN(S_InputArk!$N206)-2),Table_Questions[],2,FALSE)</f>
        <v>N/A - Gentaget - Løbende forbedringer</v>
      </c>
    </row>
    <row r="207" spans="14:16" x14ac:dyDescent="0.25">
      <c r="N207" s="107" t="str">
        <f t="shared" si="3"/>
        <v>7.e3</v>
      </c>
      <c r="O207" s="98" t="s">
        <v>123</v>
      </c>
      <c r="P207" s="108" t="str">
        <f>VLOOKUP(LEFT(RIGHT(S_InputArk!$N207,2),1),Table_Kategorisering[],2,FALSE)&amp;" - "&amp;VLOOKUP(VALUE(RIGHT(S_InputArk!$N207,1)),Table_Modenhedsskala[],2,FALSE)&amp;" - "&amp;VLOOKUP(LEFT(S_InputArk!$N207,LEN(S_InputArk!$N207)-2),Table_Questions[],2,FALSE)</f>
        <v>N/A - Procesunderstøttet - Løbende forbedringer</v>
      </c>
    </row>
    <row r="208" spans="14:16" x14ac:dyDescent="0.25">
      <c r="N208" s="107" t="str">
        <f t="shared" si="3"/>
        <v>7.e4</v>
      </c>
      <c r="O208" s="98" t="s">
        <v>123</v>
      </c>
      <c r="P208" s="108" t="str">
        <f>VLOOKUP(LEFT(RIGHT(S_InputArk!$N208,2),1),Table_Kategorisering[],2,FALSE)&amp;" - "&amp;VLOOKUP(VALUE(RIGHT(S_InputArk!$N208,1)),Table_Modenhedsskala[],2,FALSE)&amp;" - "&amp;VLOOKUP(LEFT(S_InputArk!$N208,LEN(S_InputArk!$N208)-2),Table_Questions[],2,FALSE)</f>
        <v>N/A - Styret og målbar - Løbende forbedringer</v>
      </c>
    </row>
    <row r="209" spans="14:16" x14ac:dyDescent="0.25">
      <c r="N209" s="107" t="str">
        <f t="shared" si="3"/>
        <v>7.e5</v>
      </c>
      <c r="O209" s="98" t="s">
        <v>123</v>
      </c>
      <c r="P209" s="108" t="str">
        <f>VLOOKUP(LEFT(RIGHT(S_InputArk!$N209,2),1),Table_Kategorisering[],2,FALSE)&amp;" - "&amp;VLOOKUP(VALUE(RIGHT(S_InputArk!$N209,1)),Table_Modenhedsskala[],2,FALSE)&amp;" - "&amp;VLOOKUP(LEFT(S_InputArk!$N209,LEN(S_InputArk!$N209)-2),Table_Questions[],2,FALSE)</f>
        <v>N/A - Optimeret - Løbende forbedringer</v>
      </c>
    </row>
    <row r="210" spans="14:16" x14ac:dyDescent="0.25">
      <c r="N210" s="107" t="str">
        <f t="shared" si="3"/>
        <v>7.f1</v>
      </c>
      <c r="O210" s="98" t="s">
        <v>123</v>
      </c>
      <c r="P210" s="108" t="str">
        <f>VLOOKUP(LEFT(RIGHT(S_InputArk!$N210,2),1),Table_Kategorisering[],2,FALSE)&amp;" - "&amp;VLOOKUP(VALUE(RIGHT(S_InputArk!$N210,1)),Table_Modenhedsskala[],2,FALSE)&amp;" - "&amp;VLOOKUP(LEFT(S_InputArk!$N210,LEN(S_InputArk!$N210)-2),Table_Questions[],2,FALSE)</f>
        <v>N/A - Ad-hoc - Løbende forbedringer</v>
      </c>
    </row>
    <row r="211" spans="14:16" x14ac:dyDescent="0.25">
      <c r="N211" s="107" t="str">
        <f t="shared" si="3"/>
        <v>7.f2</v>
      </c>
      <c r="O211" s="98" t="s">
        <v>123</v>
      </c>
      <c r="P211" s="108" t="str">
        <f>VLOOKUP(LEFT(RIGHT(S_InputArk!$N211,2),1),Table_Kategorisering[],2,FALSE)&amp;" - "&amp;VLOOKUP(VALUE(RIGHT(S_InputArk!$N211,1)),Table_Modenhedsskala[],2,FALSE)&amp;" - "&amp;VLOOKUP(LEFT(S_InputArk!$N211,LEN(S_InputArk!$N211)-2),Table_Questions[],2,FALSE)</f>
        <v>N/A - Gentaget - Løbende forbedringer</v>
      </c>
    </row>
    <row r="212" spans="14:16" x14ac:dyDescent="0.25">
      <c r="N212" s="107" t="str">
        <f t="shared" si="3"/>
        <v>7.f3</v>
      </c>
      <c r="O212" s="98" t="s">
        <v>123</v>
      </c>
      <c r="P212" s="108" t="str">
        <f>VLOOKUP(LEFT(RIGHT(S_InputArk!$N212,2),1),Table_Kategorisering[],2,FALSE)&amp;" - "&amp;VLOOKUP(VALUE(RIGHT(S_InputArk!$N212,1)),Table_Modenhedsskala[],2,FALSE)&amp;" - "&amp;VLOOKUP(LEFT(S_InputArk!$N212,LEN(S_InputArk!$N212)-2),Table_Questions[],2,FALSE)</f>
        <v>N/A - Procesunderstøttet - Løbende forbedringer</v>
      </c>
    </row>
    <row r="213" spans="14:16" x14ac:dyDescent="0.25">
      <c r="N213" s="107" t="str">
        <f t="shared" si="3"/>
        <v>7.f4</v>
      </c>
      <c r="O213" s="98" t="s">
        <v>123</v>
      </c>
      <c r="P213" s="108" t="str">
        <f>VLOOKUP(LEFT(RIGHT(S_InputArk!$N213,2),1),Table_Kategorisering[],2,FALSE)&amp;" - "&amp;VLOOKUP(VALUE(RIGHT(S_InputArk!$N213,1)),Table_Modenhedsskala[],2,FALSE)&amp;" - "&amp;VLOOKUP(LEFT(S_InputArk!$N213,LEN(S_InputArk!$N213)-2),Table_Questions[],2,FALSE)</f>
        <v>N/A - Styret og målbar - Løbende forbedringer</v>
      </c>
    </row>
    <row r="214" spans="14:16" x14ac:dyDescent="0.25">
      <c r="N214" s="107" t="str">
        <f t="shared" si="3"/>
        <v>7.f5</v>
      </c>
      <c r="O214" s="98" t="s">
        <v>123</v>
      </c>
      <c r="P214" s="108" t="str">
        <f>VLOOKUP(LEFT(RIGHT(S_InputArk!$N214,2),1),Table_Kategorisering[],2,FALSE)&amp;" - "&amp;VLOOKUP(VALUE(RIGHT(S_InputArk!$N214,1)),Table_Modenhedsskala[],2,FALSE)&amp;" - "&amp;VLOOKUP(LEFT(S_InputArk!$N214,LEN(S_InputArk!$N214)-2),Table_Questions[],2,FALSE)</f>
        <v>N/A - Optimeret - Løbende forbedringer</v>
      </c>
    </row>
    <row r="215" spans="14:16" x14ac:dyDescent="0.25">
      <c r="N215" s="107" t="str">
        <f t="shared" si="3"/>
        <v>8.a1</v>
      </c>
      <c r="O215" s="98" t="s">
        <v>215</v>
      </c>
      <c r="P215" s="108" t="str">
        <f>VLOOKUP(LEFT(RIGHT(S_InputArk!$N215,2),1),Table_Kategorisering[],2,FALSE)&amp;" - "&amp;VLOOKUP(VALUE(RIGHT(S_InputArk!$N215,1)),Table_Modenhedsskala[],2,FALSE)&amp;" - "&amp;VLOOKUP(LEFT(S_InputArk!$N215,LEN(S_InputArk!$N215)-2),Table_Questions[],2,FALSE)</f>
        <v>Kontekst (4.1) - Ad-hoc - Leverandørstyring</v>
      </c>
    </row>
    <row r="216" spans="14:16" x14ac:dyDescent="0.25">
      <c r="N216" s="107" t="str">
        <f t="shared" si="3"/>
        <v>8.a2</v>
      </c>
      <c r="O216" s="98" t="s">
        <v>5</v>
      </c>
      <c r="P216" s="108" t="str">
        <f>VLOOKUP(LEFT(RIGHT(S_InputArk!$N216,2),1),Table_Kategorisering[],2,FALSE)&amp;" - "&amp;VLOOKUP(VALUE(RIGHT(S_InputArk!$N216,1)),Table_Modenhedsskala[],2,FALSE)&amp;" - "&amp;VLOOKUP(LEFT(S_InputArk!$N216,LEN(S_InputArk!$N216)-2),Table_Questions[],2,FALSE)</f>
        <v>Kontekst (4.1) - Gentaget - Leverandørstyring</v>
      </c>
    </row>
    <row r="217" spans="14:16" x14ac:dyDescent="0.25">
      <c r="N217" s="107" t="str">
        <f t="shared" si="3"/>
        <v>8.a3</v>
      </c>
      <c r="O217" s="98" t="s">
        <v>6</v>
      </c>
      <c r="P217" s="108" t="str">
        <f>VLOOKUP(LEFT(RIGHT(S_InputArk!$N217,2),1),Table_Kategorisering[],2,FALSE)&amp;" - "&amp;VLOOKUP(VALUE(RIGHT(S_InputArk!$N217,1)),Table_Modenhedsskala[],2,FALSE)&amp;" - "&amp;VLOOKUP(LEFT(S_InputArk!$N217,LEN(S_InputArk!$N217)-2),Table_Questions[],2,FALSE)</f>
        <v>Kontekst (4.1) - Procesunderstøttet - Leverandørstyring</v>
      </c>
    </row>
    <row r="218" spans="14:16" x14ac:dyDescent="0.25">
      <c r="N218" s="107" t="str">
        <f t="shared" si="3"/>
        <v>8.a4</v>
      </c>
      <c r="O218" s="98" t="s">
        <v>7</v>
      </c>
      <c r="P218" s="108" t="str">
        <f>VLOOKUP(LEFT(RIGHT(S_InputArk!$N218,2),1),Table_Kategorisering[],2,FALSE)&amp;" - "&amp;VLOOKUP(VALUE(RIGHT(S_InputArk!$N218,1)),Table_Modenhedsskala[],2,FALSE)&amp;" - "&amp;VLOOKUP(LEFT(S_InputArk!$N218,LEN(S_InputArk!$N218)-2),Table_Questions[],2,FALSE)</f>
        <v>Kontekst (4.1) - Styret og målbar - Leverandørstyring</v>
      </c>
    </row>
    <row r="219" spans="14:16" x14ac:dyDescent="0.25">
      <c r="N219" s="107" t="str">
        <f t="shared" si="3"/>
        <v>8.a5</v>
      </c>
      <c r="O219" s="98" t="s">
        <v>14</v>
      </c>
      <c r="P219" s="108" t="str">
        <f>VLOOKUP(LEFT(RIGHT(S_InputArk!$N219,2),1),Table_Kategorisering[],2,FALSE)&amp;" - "&amp;VLOOKUP(VALUE(RIGHT(S_InputArk!$N219,1)),Table_Modenhedsskala[],2,FALSE)&amp;" - "&amp;VLOOKUP(LEFT(S_InputArk!$N219,LEN(S_InputArk!$N219)-2),Table_Questions[],2,FALSE)</f>
        <v>Kontekst (4.1) - Optimeret - Leverandørstyring</v>
      </c>
    </row>
    <row r="220" spans="14:16" x14ac:dyDescent="0.25">
      <c r="N220" s="107" t="str">
        <f t="shared" si="3"/>
        <v>8.b1</v>
      </c>
      <c r="O220" s="98" t="s">
        <v>215</v>
      </c>
      <c r="P220" s="108" t="str">
        <f>VLOOKUP(LEFT(RIGHT(S_InputArk!$N220,2),1),Table_Kategorisering[],2,FALSE)&amp;" - "&amp;VLOOKUP(VALUE(RIGHT(S_InputArk!$N220,1)),Table_Modenhedsskala[],2,FALSE)&amp;" - "&amp;VLOOKUP(LEFT(S_InputArk!$N220,LEN(S_InputArk!$N220)-2),Table_Questions[],2,FALSE)</f>
        <v>Behov og forventninger (4.2) - Ad-hoc - Leverandørstyring</v>
      </c>
    </row>
    <row r="221" spans="14:16" x14ac:dyDescent="0.25">
      <c r="N221" s="107" t="str">
        <f t="shared" si="3"/>
        <v>8.b2</v>
      </c>
      <c r="O221" s="98" t="s">
        <v>5</v>
      </c>
      <c r="P221" s="108" t="str">
        <f>VLOOKUP(LEFT(RIGHT(S_InputArk!$N221,2),1),Table_Kategorisering[],2,FALSE)&amp;" - "&amp;VLOOKUP(VALUE(RIGHT(S_InputArk!$N221,1)),Table_Modenhedsskala[],2,FALSE)&amp;" - "&amp;VLOOKUP(LEFT(S_InputArk!$N221,LEN(S_InputArk!$N221)-2),Table_Questions[],2,FALSE)</f>
        <v>Behov og forventninger (4.2) - Gentaget - Leverandørstyring</v>
      </c>
    </row>
    <row r="222" spans="14:16" x14ac:dyDescent="0.25">
      <c r="N222" s="107" t="str">
        <f t="shared" si="3"/>
        <v>8.b3</v>
      </c>
      <c r="O222" s="98" t="s">
        <v>6</v>
      </c>
      <c r="P222" s="108" t="str">
        <f>VLOOKUP(LEFT(RIGHT(S_InputArk!$N222,2),1),Table_Kategorisering[],2,FALSE)&amp;" - "&amp;VLOOKUP(VALUE(RIGHT(S_InputArk!$N222,1)),Table_Modenhedsskala[],2,FALSE)&amp;" - "&amp;VLOOKUP(LEFT(S_InputArk!$N222,LEN(S_InputArk!$N222)-2),Table_Questions[],2,FALSE)</f>
        <v>Behov og forventninger (4.2) - Procesunderstøttet - Leverandørstyring</v>
      </c>
    </row>
    <row r="223" spans="14:16" x14ac:dyDescent="0.25">
      <c r="N223" s="107" t="str">
        <f t="shared" si="3"/>
        <v>8.b4</v>
      </c>
      <c r="O223" s="98" t="s">
        <v>7</v>
      </c>
      <c r="P223" s="108" t="str">
        <f>VLOOKUP(LEFT(RIGHT(S_InputArk!$N223,2),1),Table_Kategorisering[],2,FALSE)&amp;" - "&amp;VLOOKUP(VALUE(RIGHT(S_InputArk!$N223,1)),Table_Modenhedsskala[],2,FALSE)&amp;" - "&amp;VLOOKUP(LEFT(S_InputArk!$N223,LEN(S_InputArk!$N223)-2),Table_Questions[],2,FALSE)</f>
        <v>Behov og forventninger (4.2) - Styret og målbar - Leverandørstyring</v>
      </c>
    </row>
    <row r="224" spans="14:16" x14ac:dyDescent="0.25">
      <c r="N224" s="107" t="str">
        <f t="shared" si="3"/>
        <v>8.b5</v>
      </c>
      <c r="O224" s="98" t="s">
        <v>14</v>
      </c>
      <c r="P224" s="108" t="str">
        <f>VLOOKUP(LEFT(RIGHT(S_InputArk!$N224,2),1),Table_Kategorisering[],2,FALSE)&amp;" - "&amp;VLOOKUP(VALUE(RIGHT(S_InputArk!$N224,1)),Table_Modenhedsskala[],2,FALSE)&amp;" - "&amp;VLOOKUP(LEFT(S_InputArk!$N224,LEN(S_InputArk!$N224)-2),Table_Questions[],2,FALSE)</f>
        <v>Behov og forventninger (4.2) - Optimeret - Leverandørstyring</v>
      </c>
    </row>
    <row r="225" spans="14:16" x14ac:dyDescent="0.25">
      <c r="N225" s="107" t="str">
        <f t="shared" si="3"/>
        <v>8.c1</v>
      </c>
      <c r="O225" s="98" t="s">
        <v>215</v>
      </c>
      <c r="P225" s="108" t="str">
        <f>VLOOKUP(LEFT(RIGHT(S_InputArk!$N225,2),1),Table_Kategorisering[],2,FALSE)&amp;" - "&amp;VLOOKUP(VALUE(RIGHT(S_InputArk!$N225,1)),Table_Modenhedsskala[],2,FALSE)&amp;" - "&amp;VLOOKUP(LEFT(S_InputArk!$N225,LEN(S_InputArk!$N225)-2),Table_Questions[],2,FALSE)</f>
        <v>Omfang (4.3) - Ad-hoc - Leverandørstyring</v>
      </c>
    </row>
    <row r="226" spans="14:16" x14ac:dyDescent="0.25">
      <c r="N226" s="107" t="str">
        <f t="shared" si="3"/>
        <v>8.c2</v>
      </c>
      <c r="O226" s="98" t="s">
        <v>5</v>
      </c>
      <c r="P226" s="108" t="str">
        <f>VLOOKUP(LEFT(RIGHT(S_InputArk!$N226,2),1),Table_Kategorisering[],2,FALSE)&amp;" - "&amp;VLOOKUP(VALUE(RIGHT(S_InputArk!$N226,1)),Table_Modenhedsskala[],2,FALSE)&amp;" - "&amp;VLOOKUP(LEFT(S_InputArk!$N226,LEN(S_InputArk!$N226)-2),Table_Questions[],2,FALSE)</f>
        <v>Omfang (4.3) - Gentaget - Leverandørstyring</v>
      </c>
    </row>
    <row r="227" spans="14:16" x14ac:dyDescent="0.25">
      <c r="N227" s="107" t="str">
        <f t="shared" si="3"/>
        <v>8.c3</v>
      </c>
      <c r="O227" s="98" t="s">
        <v>6</v>
      </c>
      <c r="P227" s="108" t="str">
        <f>VLOOKUP(LEFT(RIGHT(S_InputArk!$N227,2),1),Table_Kategorisering[],2,FALSE)&amp;" - "&amp;VLOOKUP(VALUE(RIGHT(S_InputArk!$N227,1)),Table_Modenhedsskala[],2,FALSE)&amp;" - "&amp;VLOOKUP(LEFT(S_InputArk!$N227,LEN(S_InputArk!$N227)-2),Table_Questions[],2,FALSE)</f>
        <v>Omfang (4.3) - Procesunderstøttet - Leverandørstyring</v>
      </c>
    </row>
    <row r="228" spans="14:16" x14ac:dyDescent="0.25">
      <c r="N228" s="107" t="str">
        <f t="shared" si="3"/>
        <v>8.c4</v>
      </c>
      <c r="O228" s="98" t="s">
        <v>7</v>
      </c>
      <c r="P228" s="108" t="str">
        <f>VLOOKUP(LEFT(RIGHT(S_InputArk!$N228,2),1),Table_Kategorisering[],2,FALSE)&amp;" - "&amp;VLOOKUP(VALUE(RIGHT(S_InputArk!$N228,1)),Table_Modenhedsskala[],2,FALSE)&amp;" - "&amp;VLOOKUP(LEFT(S_InputArk!$N228,LEN(S_InputArk!$N228)-2),Table_Questions[],2,FALSE)</f>
        <v>Omfang (4.3) - Styret og målbar - Leverandørstyring</v>
      </c>
    </row>
    <row r="229" spans="14:16" x14ac:dyDescent="0.25">
      <c r="N229" s="107" t="str">
        <f t="shared" si="3"/>
        <v>8.c5</v>
      </c>
      <c r="O229" s="98" t="s">
        <v>14</v>
      </c>
      <c r="P229" s="108" t="str">
        <f>VLOOKUP(LEFT(RIGHT(S_InputArk!$N229,2),1),Table_Kategorisering[],2,FALSE)&amp;" - "&amp;VLOOKUP(VALUE(RIGHT(S_InputArk!$N229,1)),Table_Modenhedsskala[],2,FALSE)&amp;" - "&amp;VLOOKUP(LEFT(S_InputArk!$N229,LEN(S_InputArk!$N229)-2),Table_Questions[],2,FALSE)</f>
        <v>Omfang (4.3) - Optimeret - Leverandørstyring</v>
      </c>
    </row>
    <row r="230" spans="14:16" x14ac:dyDescent="0.25">
      <c r="N230" s="107" t="str">
        <f t="shared" si="3"/>
        <v>8.d1</v>
      </c>
      <c r="O230" s="98" t="s">
        <v>215</v>
      </c>
      <c r="P230" s="108" t="str">
        <f>VLOOKUP(LEFT(RIGHT(S_InputArk!$N230,2),1),Table_Kategorisering[],2,FALSE)&amp;" - "&amp;VLOOKUP(VALUE(RIGHT(S_InputArk!$N230,1)),Table_Modenhedsskala[],2,FALSE)&amp;" - "&amp;VLOOKUP(LEFT(S_InputArk!$N230,LEN(S_InputArk!$N230)-2),Table_Questions[],2,FALSE)</f>
        <v>Ledelsessystem (4.4) - Ad-hoc - Leverandørstyring</v>
      </c>
    </row>
    <row r="231" spans="14:16" x14ac:dyDescent="0.25">
      <c r="N231" s="107" t="str">
        <f t="shared" si="3"/>
        <v>8.d2</v>
      </c>
      <c r="O231" s="98" t="s">
        <v>5</v>
      </c>
      <c r="P231" s="108" t="str">
        <f>VLOOKUP(LEFT(RIGHT(S_InputArk!$N231,2),1),Table_Kategorisering[],2,FALSE)&amp;" - "&amp;VLOOKUP(VALUE(RIGHT(S_InputArk!$N231,1)),Table_Modenhedsskala[],2,FALSE)&amp;" - "&amp;VLOOKUP(LEFT(S_InputArk!$N231,LEN(S_InputArk!$N231)-2),Table_Questions[],2,FALSE)</f>
        <v>Ledelsessystem (4.4) - Gentaget - Leverandørstyring</v>
      </c>
    </row>
    <row r="232" spans="14:16" x14ac:dyDescent="0.25">
      <c r="N232" s="107" t="str">
        <f t="shared" si="3"/>
        <v>8.d3</v>
      </c>
      <c r="O232" s="98" t="s">
        <v>6</v>
      </c>
      <c r="P232" s="108" t="str">
        <f>VLOOKUP(LEFT(RIGHT(S_InputArk!$N232,2),1),Table_Kategorisering[],2,FALSE)&amp;" - "&amp;VLOOKUP(VALUE(RIGHT(S_InputArk!$N232,1)),Table_Modenhedsskala[],2,FALSE)&amp;" - "&amp;VLOOKUP(LEFT(S_InputArk!$N232,LEN(S_InputArk!$N232)-2),Table_Questions[],2,FALSE)</f>
        <v>Ledelsessystem (4.4) - Procesunderstøttet - Leverandørstyring</v>
      </c>
    </row>
    <row r="233" spans="14:16" x14ac:dyDescent="0.25">
      <c r="N233" s="107" t="str">
        <f t="shared" si="3"/>
        <v>8.d4</v>
      </c>
      <c r="O233" s="98" t="s">
        <v>7</v>
      </c>
      <c r="P233" s="108" t="str">
        <f>VLOOKUP(LEFT(RIGHT(S_InputArk!$N233,2),1),Table_Kategorisering[],2,FALSE)&amp;" - "&amp;VLOOKUP(VALUE(RIGHT(S_InputArk!$N233,1)),Table_Modenhedsskala[],2,FALSE)&amp;" - "&amp;VLOOKUP(LEFT(S_InputArk!$N233,LEN(S_InputArk!$N233)-2),Table_Questions[],2,FALSE)</f>
        <v>Ledelsessystem (4.4) - Styret og målbar - Leverandørstyring</v>
      </c>
    </row>
    <row r="234" spans="14:16" x14ac:dyDescent="0.25">
      <c r="N234" s="107" t="str">
        <f t="shared" si="3"/>
        <v>8.d5</v>
      </c>
      <c r="O234" s="98" t="s">
        <v>14</v>
      </c>
      <c r="P234" s="108" t="str">
        <f>VLOOKUP(LEFT(RIGHT(S_InputArk!$N234,2),1),Table_Kategorisering[],2,FALSE)&amp;" - "&amp;VLOOKUP(VALUE(RIGHT(S_InputArk!$N234,1)),Table_Modenhedsskala[],2,FALSE)&amp;" - "&amp;VLOOKUP(LEFT(S_InputArk!$N234,LEN(S_InputArk!$N234)-2),Table_Questions[],2,FALSE)</f>
        <v>Ledelsessystem (4.4) - Optimeret - Leverandørstyring</v>
      </c>
    </row>
    <row r="235" spans="14:16" x14ac:dyDescent="0.25">
      <c r="N235" s="107" t="str">
        <f t="shared" si="3"/>
        <v>8.e1</v>
      </c>
      <c r="O235" s="98" t="s">
        <v>123</v>
      </c>
      <c r="P235" s="108" t="str">
        <f>VLOOKUP(LEFT(RIGHT(S_InputArk!$N235,2),1),Table_Kategorisering[],2,FALSE)&amp;" - "&amp;VLOOKUP(VALUE(RIGHT(S_InputArk!$N235,1)),Table_Modenhedsskala[],2,FALSE)&amp;" - "&amp;VLOOKUP(LEFT(S_InputArk!$N235,LEN(S_InputArk!$N235)-2),Table_Questions[],2,FALSE)</f>
        <v>N/A - Ad-hoc - Leverandørstyring</v>
      </c>
    </row>
    <row r="236" spans="14:16" x14ac:dyDescent="0.25">
      <c r="N236" s="107" t="str">
        <f t="shared" si="3"/>
        <v>8.e2</v>
      </c>
      <c r="O236" s="98" t="s">
        <v>123</v>
      </c>
      <c r="P236" s="108" t="str">
        <f>VLOOKUP(LEFT(RIGHT(S_InputArk!$N236,2),1),Table_Kategorisering[],2,FALSE)&amp;" - "&amp;VLOOKUP(VALUE(RIGHT(S_InputArk!$N236,1)),Table_Modenhedsskala[],2,FALSE)&amp;" - "&amp;VLOOKUP(LEFT(S_InputArk!$N236,LEN(S_InputArk!$N236)-2),Table_Questions[],2,FALSE)</f>
        <v>N/A - Gentaget - Leverandørstyring</v>
      </c>
    </row>
    <row r="237" spans="14:16" x14ac:dyDescent="0.25">
      <c r="N237" s="107" t="str">
        <f t="shared" si="3"/>
        <v>8.e3</v>
      </c>
      <c r="O237" s="98" t="s">
        <v>123</v>
      </c>
      <c r="P237" s="108" t="str">
        <f>VLOOKUP(LEFT(RIGHT(S_InputArk!$N237,2),1),Table_Kategorisering[],2,FALSE)&amp;" - "&amp;VLOOKUP(VALUE(RIGHT(S_InputArk!$N237,1)),Table_Modenhedsskala[],2,FALSE)&amp;" - "&amp;VLOOKUP(LEFT(S_InputArk!$N237,LEN(S_InputArk!$N237)-2),Table_Questions[],2,FALSE)</f>
        <v>N/A - Procesunderstøttet - Leverandørstyring</v>
      </c>
    </row>
    <row r="238" spans="14:16" x14ac:dyDescent="0.25">
      <c r="N238" s="107" t="str">
        <f t="shared" si="3"/>
        <v>8.e4</v>
      </c>
      <c r="O238" s="98" t="s">
        <v>123</v>
      </c>
      <c r="P238" s="108" t="str">
        <f>VLOOKUP(LEFT(RIGHT(S_InputArk!$N238,2),1),Table_Kategorisering[],2,FALSE)&amp;" - "&amp;VLOOKUP(VALUE(RIGHT(S_InputArk!$N238,1)),Table_Modenhedsskala[],2,FALSE)&amp;" - "&amp;VLOOKUP(LEFT(S_InputArk!$N238,LEN(S_InputArk!$N238)-2),Table_Questions[],2,FALSE)</f>
        <v>N/A - Styret og målbar - Leverandørstyring</v>
      </c>
    </row>
    <row r="239" spans="14:16" x14ac:dyDescent="0.25">
      <c r="N239" s="107" t="str">
        <f t="shared" si="3"/>
        <v>8.e5</v>
      </c>
      <c r="O239" s="98" t="s">
        <v>123</v>
      </c>
      <c r="P239" s="108" t="str">
        <f>VLOOKUP(LEFT(RIGHT(S_InputArk!$N239,2),1),Table_Kategorisering[],2,FALSE)&amp;" - "&amp;VLOOKUP(VALUE(RIGHT(S_InputArk!$N239,1)),Table_Modenhedsskala[],2,FALSE)&amp;" - "&amp;VLOOKUP(LEFT(S_InputArk!$N239,LEN(S_InputArk!$N239)-2),Table_Questions[],2,FALSE)</f>
        <v>N/A - Optimeret - Leverandørstyring</v>
      </c>
    </row>
    <row r="240" spans="14:16" x14ac:dyDescent="0.25">
      <c r="N240" s="107" t="str">
        <f t="shared" si="3"/>
        <v>8.f1</v>
      </c>
      <c r="O240" s="98" t="s">
        <v>123</v>
      </c>
      <c r="P240" s="108" t="str">
        <f>VLOOKUP(LEFT(RIGHT(S_InputArk!$N240,2),1),Table_Kategorisering[],2,FALSE)&amp;" - "&amp;VLOOKUP(VALUE(RIGHT(S_InputArk!$N240,1)),Table_Modenhedsskala[],2,FALSE)&amp;" - "&amp;VLOOKUP(LEFT(S_InputArk!$N240,LEN(S_InputArk!$N240)-2),Table_Questions[],2,FALSE)</f>
        <v>N/A - Ad-hoc - Leverandørstyring</v>
      </c>
    </row>
    <row r="241" spans="14:16" x14ac:dyDescent="0.25">
      <c r="N241" s="107" t="str">
        <f t="shared" si="3"/>
        <v>8.f2</v>
      </c>
      <c r="O241" s="98" t="s">
        <v>123</v>
      </c>
      <c r="P241" s="108" t="str">
        <f>VLOOKUP(LEFT(RIGHT(S_InputArk!$N241,2),1),Table_Kategorisering[],2,FALSE)&amp;" - "&amp;VLOOKUP(VALUE(RIGHT(S_InputArk!$N241,1)),Table_Modenhedsskala[],2,FALSE)&amp;" - "&amp;VLOOKUP(LEFT(S_InputArk!$N241,LEN(S_InputArk!$N241)-2),Table_Questions[],2,FALSE)</f>
        <v>N/A - Gentaget - Leverandørstyring</v>
      </c>
    </row>
    <row r="242" spans="14:16" x14ac:dyDescent="0.25">
      <c r="N242" s="107" t="str">
        <f t="shared" si="3"/>
        <v>8.f3</v>
      </c>
      <c r="O242" s="98" t="s">
        <v>123</v>
      </c>
      <c r="P242" s="108" t="str">
        <f>VLOOKUP(LEFT(RIGHT(S_InputArk!$N242,2),1),Table_Kategorisering[],2,FALSE)&amp;" - "&amp;VLOOKUP(VALUE(RIGHT(S_InputArk!$N242,1)),Table_Modenhedsskala[],2,FALSE)&amp;" - "&amp;VLOOKUP(LEFT(S_InputArk!$N242,LEN(S_InputArk!$N242)-2),Table_Questions[],2,FALSE)</f>
        <v>N/A - Procesunderstøttet - Leverandørstyring</v>
      </c>
    </row>
    <row r="243" spans="14:16" x14ac:dyDescent="0.25">
      <c r="N243" s="107" t="str">
        <f t="shared" si="3"/>
        <v>8.f4</v>
      </c>
      <c r="O243" s="98" t="s">
        <v>123</v>
      </c>
      <c r="P243" s="108" t="str">
        <f>VLOOKUP(LEFT(RIGHT(S_InputArk!$N243,2),1),Table_Kategorisering[],2,FALSE)&amp;" - "&amp;VLOOKUP(VALUE(RIGHT(S_InputArk!$N243,1)),Table_Modenhedsskala[],2,FALSE)&amp;" - "&amp;VLOOKUP(LEFT(S_InputArk!$N243,LEN(S_InputArk!$N243)-2),Table_Questions[],2,FALSE)</f>
        <v>N/A - Styret og målbar - Leverandørstyring</v>
      </c>
    </row>
    <row r="244" spans="14:16" x14ac:dyDescent="0.25">
      <c r="N244" s="107" t="str">
        <f t="shared" si="3"/>
        <v>8.f5</v>
      </c>
      <c r="O244" s="98" t="s">
        <v>123</v>
      </c>
      <c r="P244" s="108" t="str">
        <f>VLOOKUP(LEFT(RIGHT(S_InputArk!$N244,2),1),Table_Kategorisering[],2,FALSE)&amp;" - "&amp;VLOOKUP(VALUE(RIGHT(S_InputArk!$N244,1)),Table_Modenhedsskala[],2,FALSE)&amp;" - "&amp;VLOOKUP(LEFT(S_InputArk!$N244,LEN(S_InputArk!$N244)-2),Table_Questions[],2,FALSE)</f>
        <v>N/A - Optimeret - Leverandørstyring</v>
      </c>
    </row>
    <row r="245" spans="14:16" x14ac:dyDescent="0.25">
      <c r="N245" s="107" t="str">
        <f t="shared" si="3"/>
        <v>9.a1</v>
      </c>
      <c r="O245" s="98" t="s">
        <v>215</v>
      </c>
      <c r="P245" s="108" t="str">
        <f>VLOOKUP(LEFT(RIGHT(S_InputArk!$N245,2),1),Table_Kategorisering[],2,FALSE)&amp;" - "&amp;VLOOKUP(VALUE(RIGHT(S_InputArk!$N245,1)),Table_Modenhedsskala[],2,FALSE)&amp;" - "&amp;VLOOKUP(LEFT(S_InputArk!$N245,LEN(S_InputArk!$N245)-2),Table_Questions[],2,FALSE)</f>
        <v>Kontekst (4.1) - Ad-hoc - Beredskabsplaner</v>
      </c>
    </row>
    <row r="246" spans="14:16" x14ac:dyDescent="0.25">
      <c r="N246" s="107" t="str">
        <f t="shared" si="3"/>
        <v>9.a2</v>
      </c>
      <c r="O246" s="98" t="s">
        <v>5</v>
      </c>
      <c r="P246" s="108" t="str">
        <f>VLOOKUP(LEFT(RIGHT(S_InputArk!$N246,2),1),Table_Kategorisering[],2,FALSE)&amp;" - "&amp;VLOOKUP(VALUE(RIGHT(S_InputArk!$N246,1)),Table_Modenhedsskala[],2,FALSE)&amp;" - "&amp;VLOOKUP(LEFT(S_InputArk!$N246,LEN(S_InputArk!$N246)-2),Table_Questions[],2,FALSE)</f>
        <v>Kontekst (4.1) - Gentaget - Beredskabsplaner</v>
      </c>
    </row>
    <row r="247" spans="14:16" x14ac:dyDescent="0.25">
      <c r="N247" s="107" t="str">
        <f t="shared" si="3"/>
        <v>9.a3</v>
      </c>
      <c r="O247" s="98" t="s">
        <v>6</v>
      </c>
      <c r="P247" s="108" t="str">
        <f>VLOOKUP(LEFT(RIGHT(S_InputArk!$N247,2),1),Table_Kategorisering[],2,FALSE)&amp;" - "&amp;VLOOKUP(VALUE(RIGHT(S_InputArk!$N247,1)),Table_Modenhedsskala[],2,FALSE)&amp;" - "&amp;VLOOKUP(LEFT(S_InputArk!$N247,LEN(S_InputArk!$N247)-2),Table_Questions[],2,FALSE)</f>
        <v>Kontekst (4.1) - Procesunderstøttet - Beredskabsplaner</v>
      </c>
    </row>
    <row r="248" spans="14:16" x14ac:dyDescent="0.25">
      <c r="N248" s="107" t="str">
        <f t="shared" si="3"/>
        <v>9.a4</v>
      </c>
      <c r="O248" s="98" t="s">
        <v>7</v>
      </c>
      <c r="P248" s="108" t="str">
        <f>VLOOKUP(LEFT(RIGHT(S_InputArk!$N248,2),1),Table_Kategorisering[],2,FALSE)&amp;" - "&amp;VLOOKUP(VALUE(RIGHT(S_InputArk!$N248,1)),Table_Modenhedsskala[],2,FALSE)&amp;" - "&amp;VLOOKUP(LEFT(S_InputArk!$N248,LEN(S_InputArk!$N248)-2),Table_Questions[],2,FALSE)</f>
        <v>Kontekst (4.1) - Styret og målbar - Beredskabsplaner</v>
      </c>
    </row>
    <row r="249" spans="14:16" x14ac:dyDescent="0.25">
      <c r="N249" s="107" t="str">
        <f t="shared" si="3"/>
        <v>9.a5</v>
      </c>
      <c r="O249" s="98" t="s">
        <v>14</v>
      </c>
      <c r="P249" s="108" t="str">
        <f>VLOOKUP(LEFT(RIGHT(S_InputArk!$N249,2),1),Table_Kategorisering[],2,FALSE)&amp;" - "&amp;VLOOKUP(VALUE(RIGHT(S_InputArk!$N249,1)),Table_Modenhedsskala[],2,FALSE)&amp;" - "&amp;VLOOKUP(LEFT(S_InputArk!$N249,LEN(S_InputArk!$N249)-2),Table_Questions[],2,FALSE)</f>
        <v>Kontekst (4.1) - Optimeret - Beredskabsplaner</v>
      </c>
    </row>
    <row r="250" spans="14:16" x14ac:dyDescent="0.25">
      <c r="N250" s="107" t="str">
        <f t="shared" si="3"/>
        <v>9.b1</v>
      </c>
      <c r="O250" s="98" t="s">
        <v>215</v>
      </c>
      <c r="P250" s="108" t="str">
        <f>VLOOKUP(LEFT(RIGHT(S_InputArk!$N250,2),1),Table_Kategorisering[],2,FALSE)&amp;" - "&amp;VLOOKUP(VALUE(RIGHT(S_InputArk!$N250,1)),Table_Modenhedsskala[],2,FALSE)&amp;" - "&amp;VLOOKUP(LEFT(S_InputArk!$N250,LEN(S_InputArk!$N250)-2),Table_Questions[],2,FALSE)</f>
        <v>Behov og forventninger (4.2) - Ad-hoc - Beredskabsplaner</v>
      </c>
    </row>
    <row r="251" spans="14:16" x14ac:dyDescent="0.25">
      <c r="N251" s="107" t="str">
        <f t="shared" si="3"/>
        <v>9.b2</v>
      </c>
      <c r="O251" s="98" t="s">
        <v>5</v>
      </c>
      <c r="P251" s="108" t="str">
        <f>VLOOKUP(LEFT(RIGHT(S_InputArk!$N251,2),1),Table_Kategorisering[],2,FALSE)&amp;" - "&amp;VLOOKUP(VALUE(RIGHT(S_InputArk!$N251,1)),Table_Modenhedsskala[],2,FALSE)&amp;" - "&amp;VLOOKUP(LEFT(S_InputArk!$N251,LEN(S_InputArk!$N251)-2),Table_Questions[],2,FALSE)</f>
        <v>Behov og forventninger (4.2) - Gentaget - Beredskabsplaner</v>
      </c>
    </row>
    <row r="252" spans="14:16" x14ac:dyDescent="0.25">
      <c r="N252" s="107" t="str">
        <f t="shared" si="3"/>
        <v>9.b3</v>
      </c>
      <c r="O252" s="98" t="s">
        <v>6</v>
      </c>
      <c r="P252" s="108" t="str">
        <f>VLOOKUP(LEFT(RIGHT(S_InputArk!$N252,2),1),Table_Kategorisering[],2,FALSE)&amp;" - "&amp;VLOOKUP(VALUE(RIGHT(S_InputArk!$N252,1)),Table_Modenhedsskala[],2,FALSE)&amp;" - "&amp;VLOOKUP(LEFT(S_InputArk!$N252,LEN(S_InputArk!$N252)-2),Table_Questions[],2,FALSE)</f>
        <v>Behov og forventninger (4.2) - Procesunderstøttet - Beredskabsplaner</v>
      </c>
    </row>
    <row r="253" spans="14:16" x14ac:dyDescent="0.25">
      <c r="N253" s="107" t="str">
        <f t="shared" si="3"/>
        <v>9.b4</v>
      </c>
      <c r="O253" s="98" t="s">
        <v>7</v>
      </c>
      <c r="P253" s="108" t="str">
        <f>VLOOKUP(LEFT(RIGHT(S_InputArk!$N253,2),1),Table_Kategorisering[],2,FALSE)&amp;" - "&amp;VLOOKUP(VALUE(RIGHT(S_InputArk!$N253,1)),Table_Modenhedsskala[],2,FALSE)&amp;" - "&amp;VLOOKUP(LEFT(S_InputArk!$N253,LEN(S_InputArk!$N253)-2),Table_Questions[],2,FALSE)</f>
        <v>Behov og forventninger (4.2) - Styret og målbar - Beredskabsplaner</v>
      </c>
    </row>
    <row r="254" spans="14:16" x14ac:dyDescent="0.25">
      <c r="N254" s="107" t="str">
        <f t="shared" si="3"/>
        <v>9.b5</v>
      </c>
      <c r="O254" s="98" t="s">
        <v>14</v>
      </c>
      <c r="P254" s="108" t="str">
        <f>VLOOKUP(LEFT(RIGHT(S_InputArk!$N254,2),1),Table_Kategorisering[],2,FALSE)&amp;" - "&amp;VLOOKUP(VALUE(RIGHT(S_InputArk!$N254,1)),Table_Modenhedsskala[],2,FALSE)&amp;" - "&amp;VLOOKUP(LEFT(S_InputArk!$N254,LEN(S_InputArk!$N254)-2),Table_Questions[],2,FALSE)</f>
        <v>Behov og forventninger (4.2) - Optimeret - Beredskabsplaner</v>
      </c>
    </row>
    <row r="255" spans="14:16" x14ac:dyDescent="0.25">
      <c r="N255" s="107" t="str">
        <f t="shared" si="3"/>
        <v>9.c1</v>
      </c>
      <c r="O255" s="98" t="s">
        <v>215</v>
      </c>
      <c r="P255" s="108" t="str">
        <f>VLOOKUP(LEFT(RIGHT(S_InputArk!$N255,2),1),Table_Kategorisering[],2,FALSE)&amp;" - "&amp;VLOOKUP(VALUE(RIGHT(S_InputArk!$N255,1)),Table_Modenhedsskala[],2,FALSE)&amp;" - "&amp;VLOOKUP(LEFT(S_InputArk!$N255,LEN(S_InputArk!$N255)-2),Table_Questions[],2,FALSE)</f>
        <v>Omfang (4.3) - Ad-hoc - Beredskabsplaner</v>
      </c>
    </row>
    <row r="256" spans="14:16" x14ac:dyDescent="0.25">
      <c r="N256" s="107" t="str">
        <f t="shared" si="3"/>
        <v>9.c2</v>
      </c>
      <c r="O256" s="98" t="s">
        <v>5</v>
      </c>
      <c r="P256" s="108" t="str">
        <f>VLOOKUP(LEFT(RIGHT(S_InputArk!$N256,2),1),Table_Kategorisering[],2,FALSE)&amp;" - "&amp;VLOOKUP(VALUE(RIGHT(S_InputArk!$N256,1)),Table_Modenhedsskala[],2,FALSE)&amp;" - "&amp;VLOOKUP(LEFT(S_InputArk!$N256,LEN(S_InputArk!$N256)-2),Table_Questions[],2,FALSE)</f>
        <v>Omfang (4.3) - Gentaget - Beredskabsplaner</v>
      </c>
    </row>
    <row r="257" spans="14:16" x14ac:dyDescent="0.25">
      <c r="N257" s="107" t="str">
        <f t="shared" si="3"/>
        <v>9.c3</v>
      </c>
      <c r="O257" s="98" t="s">
        <v>6</v>
      </c>
      <c r="P257" s="108" t="str">
        <f>VLOOKUP(LEFT(RIGHT(S_InputArk!$N257,2),1),Table_Kategorisering[],2,FALSE)&amp;" - "&amp;VLOOKUP(VALUE(RIGHT(S_InputArk!$N257,1)),Table_Modenhedsskala[],2,FALSE)&amp;" - "&amp;VLOOKUP(LEFT(S_InputArk!$N257,LEN(S_InputArk!$N257)-2),Table_Questions[],2,FALSE)</f>
        <v>Omfang (4.3) - Procesunderstøttet - Beredskabsplaner</v>
      </c>
    </row>
    <row r="258" spans="14:16" x14ac:dyDescent="0.25">
      <c r="N258" s="107" t="str">
        <f t="shared" si="3"/>
        <v>9.c4</v>
      </c>
      <c r="O258" s="98" t="s">
        <v>7</v>
      </c>
      <c r="P258" s="108" t="str">
        <f>VLOOKUP(LEFT(RIGHT(S_InputArk!$N258,2),1),Table_Kategorisering[],2,FALSE)&amp;" - "&amp;VLOOKUP(VALUE(RIGHT(S_InputArk!$N258,1)),Table_Modenhedsskala[],2,FALSE)&amp;" - "&amp;VLOOKUP(LEFT(S_InputArk!$N258,LEN(S_InputArk!$N258)-2),Table_Questions[],2,FALSE)</f>
        <v>Omfang (4.3) - Styret og målbar - Beredskabsplaner</v>
      </c>
    </row>
    <row r="259" spans="14:16" x14ac:dyDescent="0.25">
      <c r="N259" s="107" t="str">
        <f t="shared" si="3"/>
        <v>9.c5</v>
      </c>
      <c r="O259" s="98" t="s">
        <v>14</v>
      </c>
      <c r="P259" s="108" t="str">
        <f>VLOOKUP(LEFT(RIGHT(S_InputArk!$N259,2),1),Table_Kategorisering[],2,FALSE)&amp;" - "&amp;VLOOKUP(VALUE(RIGHT(S_InputArk!$N259,1)),Table_Modenhedsskala[],2,FALSE)&amp;" - "&amp;VLOOKUP(LEFT(S_InputArk!$N259,LEN(S_InputArk!$N259)-2),Table_Questions[],2,FALSE)</f>
        <v>Omfang (4.3) - Optimeret - Beredskabsplaner</v>
      </c>
    </row>
    <row r="260" spans="14:16" x14ac:dyDescent="0.25">
      <c r="N260" s="107" t="str">
        <f t="shared" si="3"/>
        <v>9.d1</v>
      </c>
      <c r="O260" s="98" t="s">
        <v>215</v>
      </c>
      <c r="P260" s="108" t="str">
        <f>VLOOKUP(LEFT(RIGHT(S_InputArk!$N260,2),1),Table_Kategorisering[],2,FALSE)&amp;" - "&amp;VLOOKUP(VALUE(RIGHT(S_InputArk!$N260,1)),Table_Modenhedsskala[],2,FALSE)&amp;" - "&amp;VLOOKUP(LEFT(S_InputArk!$N260,LEN(S_InputArk!$N260)-2),Table_Questions[],2,FALSE)</f>
        <v>Ledelsessystem (4.4) - Ad-hoc - Beredskabsplaner</v>
      </c>
    </row>
    <row r="261" spans="14:16" x14ac:dyDescent="0.25">
      <c r="N261" s="107" t="str">
        <f t="shared" ref="N261:N304" si="4">ROUNDUP(ROW($N257)/30,0)&amp;"."&amp;
CHOOSE(IF(
MOD(ROUNDUP(ROW($N257)/5,0),6)=0,6,MOD(ROUNDUP(ROW($N257)/5,0),6)),"a","b","c","d","e","f")&amp;
IF(MOD(ROW($N257),5)=0,5,MOD(ROW($N257),5))</f>
        <v>9.d2</v>
      </c>
      <c r="O261" s="98" t="s">
        <v>5</v>
      </c>
      <c r="P261" s="108" t="str">
        <f>VLOOKUP(LEFT(RIGHT(S_InputArk!$N261,2),1),Table_Kategorisering[],2,FALSE)&amp;" - "&amp;VLOOKUP(VALUE(RIGHT(S_InputArk!$N261,1)),Table_Modenhedsskala[],2,FALSE)&amp;" - "&amp;VLOOKUP(LEFT(S_InputArk!$N261,LEN(S_InputArk!$N261)-2),Table_Questions[],2,FALSE)</f>
        <v>Ledelsessystem (4.4) - Gentaget - Beredskabsplaner</v>
      </c>
    </row>
    <row r="262" spans="14:16" x14ac:dyDescent="0.25">
      <c r="N262" s="107" t="str">
        <f t="shared" si="4"/>
        <v>9.d3</v>
      </c>
      <c r="O262" s="98" t="s">
        <v>6</v>
      </c>
      <c r="P262" s="108" t="str">
        <f>VLOOKUP(LEFT(RIGHT(S_InputArk!$N262,2),1),Table_Kategorisering[],2,FALSE)&amp;" - "&amp;VLOOKUP(VALUE(RIGHT(S_InputArk!$N262,1)),Table_Modenhedsskala[],2,FALSE)&amp;" - "&amp;VLOOKUP(LEFT(S_InputArk!$N262,LEN(S_InputArk!$N262)-2),Table_Questions[],2,FALSE)</f>
        <v>Ledelsessystem (4.4) - Procesunderstøttet - Beredskabsplaner</v>
      </c>
    </row>
    <row r="263" spans="14:16" x14ac:dyDescent="0.25">
      <c r="N263" s="107" t="str">
        <f t="shared" si="4"/>
        <v>9.d4</v>
      </c>
      <c r="O263" s="98" t="s">
        <v>7</v>
      </c>
      <c r="P263" s="108" t="str">
        <f>VLOOKUP(LEFT(RIGHT(S_InputArk!$N263,2),1),Table_Kategorisering[],2,FALSE)&amp;" - "&amp;VLOOKUP(VALUE(RIGHT(S_InputArk!$N263,1)),Table_Modenhedsskala[],2,FALSE)&amp;" - "&amp;VLOOKUP(LEFT(S_InputArk!$N263,LEN(S_InputArk!$N263)-2),Table_Questions[],2,FALSE)</f>
        <v>Ledelsessystem (4.4) - Styret og målbar - Beredskabsplaner</v>
      </c>
    </row>
    <row r="264" spans="14:16" x14ac:dyDescent="0.25">
      <c r="N264" s="107" t="str">
        <f t="shared" si="4"/>
        <v>9.d5</v>
      </c>
      <c r="O264" s="98" t="s">
        <v>14</v>
      </c>
      <c r="P264" s="108" t="str">
        <f>VLOOKUP(LEFT(RIGHT(S_InputArk!$N264,2),1),Table_Kategorisering[],2,FALSE)&amp;" - "&amp;VLOOKUP(VALUE(RIGHT(S_InputArk!$N264,1)),Table_Modenhedsskala[],2,FALSE)&amp;" - "&amp;VLOOKUP(LEFT(S_InputArk!$N264,LEN(S_InputArk!$N264)-2),Table_Questions[],2,FALSE)</f>
        <v>Ledelsessystem (4.4) - Optimeret - Beredskabsplaner</v>
      </c>
    </row>
    <row r="265" spans="14:16" x14ac:dyDescent="0.25">
      <c r="N265" s="107" t="str">
        <f t="shared" si="4"/>
        <v>9.e1</v>
      </c>
      <c r="O265" s="98" t="s">
        <v>123</v>
      </c>
      <c r="P265" s="108" t="str">
        <f>VLOOKUP(LEFT(RIGHT(S_InputArk!$N265,2),1),Table_Kategorisering[],2,FALSE)&amp;" - "&amp;VLOOKUP(VALUE(RIGHT(S_InputArk!$N265,1)),Table_Modenhedsskala[],2,FALSE)&amp;" - "&amp;VLOOKUP(LEFT(S_InputArk!$N265,LEN(S_InputArk!$N265)-2),Table_Questions[],2,FALSE)</f>
        <v>N/A - Ad-hoc - Beredskabsplaner</v>
      </c>
    </row>
    <row r="266" spans="14:16" x14ac:dyDescent="0.25">
      <c r="N266" s="107" t="str">
        <f t="shared" si="4"/>
        <v>9.e2</v>
      </c>
      <c r="O266" s="98" t="s">
        <v>123</v>
      </c>
      <c r="P266" s="108" t="str">
        <f>VLOOKUP(LEFT(RIGHT(S_InputArk!$N266,2),1),Table_Kategorisering[],2,FALSE)&amp;" - "&amp;VLOOKUP(VALUE(RIGHT(S_InputArk!$N266,1)),Table_Modenhedsskala[],2,FALSE)&amp;" - "&amp;VLOOKUP(LEFT(S_InputArk!$N266,LEN(S_InputArk!$N266)-2),Table_Questions[],2,FALSE)</f>
        <v>N/A - Gentaget - Beredskabsplaner</v>
      </c>
    </row>
    <row r="267" spans="14:16" x14ac:dyDescent="0.25">
      <c r="N267" s="107" t="str">
        <f t="shared" si="4"/>
        <v>9.e3</v>
      </c>
      <c r="O267" s="98" t="s">
        <v>123</v>
      </c>
      <c r="P267" s="108" t="str">
        <f>VLOOKUP(LEFT(RIGHT(S_InputArk!$N267,2),1),Table_Kategorisering[],2,FALSE)&amp;" - "&amp;VLOOKUP(VALUE(RIGHT(S_InputArk!$N267,1)),Table_Modenhedsskala[],2,FALSE)&amp;" - "&amp;VLOOKUP(LEFT(S_InputArk!$N267,LEN(S_InputArk!$N267)-2),Table_Questions[],2,FALSE)</f>
        <v>N/A - Procesunderstøttet - Beredskabsplaner</v>
      </c>
    </row>
    <row r="268" spans="14:16" x14ac:dyDescent="0.25">
      <c r="N268" s="107" t="str">
        <f t="shared" si="4"/>
        <v>9.e4</v>
      </c>
      <c r="O268" s="98" t="s">
        <v>123</v>
      </c>
      <c r="P268" s="108" t="str">
        <f>VLOOKUP(LEFT(RIGHT(S_InputArk!$N268,2),1),Table_Kategorisering[],2,FALSE)&amp;" - "&amp;VLOOKUP(VALUE(RIGHT(S_InputArk!$N268,1)),Table_Modenhedsskala[],2,FALSE)&amp;" - "&amp;VLOOKUP(LEFT(S_InputArk!$N268,LEN(S_InputArk!$N268)-2),Table_Questions[],2,FALSE)</f>
        <v>N/A - Styret og målbar - Beredskabsplaner</v>
      </c>
    </row>
    <row r="269" spans="14:16" x14ac:dyDescent="0.25">
      <c r="N269" s="107" t="str">
        <f t="shared" si="4"/>
        <v>9.e5</v>
      </c>
      <c r="O269" s="98" t="s">
        <v>123</v>
      </c>
      <c r="P269" s="108" t="str">
        <f>VLOOKUP(LEFT(RIGHT(S_InputArk!$N269,2),1),Table_Kategorisering[],2,FALSE)&amp;" - "&amp;VLOOKUP(VALUE(RIGHT(S_InputArk!$N269,1)),Table_Modenhedsskala[],2,FALSE)&amp;" - "&amp;VLOOKUP(LEFT(S_InputArk!$N269,LEN(S_InputArk!$N269)-2),Table_Questions[],2,FALSE)</f>
        <v>N/A - Optimeret - Beredskabsplaner</v>
      </c>
    </row>
    <row r="270" spans="14:16" x14ac:dyDescent="0.25">
      <c r="N270" s="107" t="str">
        <f t="shared" si="4"/>
        <v>9.f1</v>
      </c>
      <c r="O270" s="98" t="s">
        <v>123</v>
      </c>
      <c r="P270" s="108" t="str">
        <f>VLOOKUP(LEFT(RIGHT(S_InputArk!$N270,2),1),Table_Kategorisering[],2,FALSE)&amp;" - "&amp;VLOOKUP(VALUE(RIGHT(S_InputArk!$N270,1)),Table_Modenhedsskala[],2,FALSE)&amp;" - "&amp;VLOOKUP(LEFT(S_InputArk!$N270,LEN(S_InputArk!$N270)-2),Table_Questions[],2,FALSE)</f>
        <v>N/A - Ad-hoc - Beredskabsplaner</v>
      </c>
    </row>
    <row r="271" spans="14:16" x14ac:dyDescent="0.25">
      <c r="N271" s="107" t="str">
        <f t="shared" si="4"/>
        <v>9.f2</v>
      </c>
      <c r="O271" s="98" t="s">
        <v>123</v>
      </c>
      <c r="P271" s="108" t="str">
        <f>VLOOKUP(LEFT(RIGHT(S_InputArk!$N271,2),1),Table_Kategorisering[],2,FALSE)&amp;" - "&amp;VLOOKUP(VALUE(RIGHT(S_InputArk!$N271,1)),Table_Modenhedsskala[],2,FALSE)&amp;" - "&amp;VLOOKUP(LEFT(S_InputArk!$N271,LEN(S_InputArk!$N271)-2),Table_Questions[],2,FALSE)</f>
        <v>N/A - Gentaget - Beredskabsplaner</v>
      </c>
    </row>
    <row r="272" spans="14:16" x14ac:dyDescent="0.25">
      <c r="N272" s="107" t="str">
        <f t="shared" si="4"/>
        <v>9.f3</v>
      </c>
      <c r="O272" s="98" t="s">
        <v>123</v>
      </c>
      <c r="P272" s="108" t="str">
        <f>VLOOKUP(LEFT(RIGHT(S_InputArk!$N272,2),1),Table_Kategorisering[],2,FALSE)&amp;" - "&amp;VLOOKUP(VALUE(RIGHT(S_InputArk!$N272,1)),Table_Modenhedsskala[],2,FALSE)&amp;" - "&amp;VLOOKUP(LEFT(S_InputArk!$N272,LEN(S_InputArk!$N272)-2),Table_Questions[],2,FALSE)</f>
        <v>N/A - Procesunderstøttet - Beredskabsplaner</v>
      </c>
    </row>
    <row r="273" spans="14:16" x14ac:dyDescent="0.25">
      <c r="N273" s="107" t="str">
        <f t="shared" si="4"/>
        <v>9.f4</v>
      </c>
      <c r="O273" s="98" t="s">
        <v>123</v>
      </c>
      <c r="P273" s="108" t="str">
        <f>VLOOKUP(LEFT(RIGHT(S_InputArk!$N273,2),1),Table_Kategorisering[],2,FALSE)&amp;" - "&amp;VLOOKUP(VALUE(RIGHT(S_InputArk!$N273,1)),Table_Modenhedsskala[],2,FALSE)&amp;" - "&amp;VLOOKUP(LEFT(S_InputArk!$N273,LEN(S_InputArk!$N273)-2),Table_Questions[],2,FALSE)</f>
        <v>N/A - Styret og målbar - Beredskabsplaner</v>
      </c>
    </row>
    <row r="274" spans="14:16" x14ac:dyDescent="0.25">
      <c r="N274" s="107" t="str">
        <f t="shared" si="4"/>
        <v>9.f5</v>
      </c>
      <c r="O274" s="98" t="s">
        <v>123</v>
      </c>
      <c r="P274" s="108" t="str">
        <f>VLOOKUP(LEFT(RIGHT(S_InputArk!$N274,2),1),Table_Kategorisering[],2,FALSE)&amp;" - "&amp;VLOOKUP(VALUE(RIGHT(S_InputArk!$N274,1)),Table_Modenhedsskala[],2,FALSE)&amp;" - "&amp;VLOOKUP(LEFT(S_InputArk!$N274,LEN(S_InputArk!$N274)-2),Table_Questions[],2,FALSE)</f>
        <v>N/A - Optimeret - Beredskabsplaner</v>
      </c>
    </row>
    <row r="275" spans="14:16" x14ac:dyDescent="0.25">
      <c r="N275" s="107" t="str">
        <f t="shared" si="4"/>
        <v>10.a1</v>
      </c>
      <c r="O275" s="98" t="s">
        <v>169</v>
      </c>
      <c r="P275" s="108" t="str">
        <f>VLOOKUP(LEFT(RIGHT(S_InputArk!$N275,2),1),Table_Kategorisering[],2,FALSE)&amp;" - "&amp;VLOOKUP(VALUE(RIGHT(S_InputArk!$N275,1)),Table_Modenhedsskala[],2,FALSE)&amp;" - "&amp;VLOOKUP(LEFT(S_InputArk!$N275,LEN(S_InputArk!$N275)-2),Table_Questions[],2,FALSE)</f>
        <v>Kontekst (4.1) - Ad-hoc - Ikke angivet</v>
      </c>
    </row>
    <row r="276" spans="14:16" x14ac:dyDescent="0.25">
      <c r="N276" s="107" t="str">
        <f t="shared" si="4"/>
        <v>10.a2</v>
      </c>
      <c r="O276" s="98" t="s">
        <v>169</v>
      </c>
      <c r="P276" s="108" t="str">
        <f>VLOOKUP(LEFT(RIGHT(S_InputArk!$N276,2),1),Table_Kategorisering[],2,FALSE)&amp;" - "&amp;VLOOKUP(VALUE(RIGHT(S_InputArk!$N276,1)),Table_Modenhedsskala[],2,FALSE)&amp;" - "&amp;VLOOKUP(LEFT(S_InputArk!$N276,LEN(S_InputArk!$N276)-2),Table_Questions[],2,FALSE)</f>
        <v>Kontekst (4.1) - Gentaget - Ikke angivet</v>
      </c>
    </row>
    <row r="277" spans="14:16" x14ac:dyDescent="0.25">
      <c r="N277" s="107" t="str">
        <f t="shared" si="4"/>
        <v>10.a3</v>
      </c>
      <c r="O277" s="98" t="s">
        <v>169</v>
      </c>
      <c r="P277" s="108" t="str">
        <f>VLOOKUP(LEFT(RIGHT(S_InputArk!$N277,2),1),Table_Kategorisering[],2,FALSE)&amp;" - "&amp;VLOOKUP(VALUE(RIGHT(S_InputArk!$N277,1)),Table_Modenhedsskala[],2,FALSE)&amp;" - "&amp;VLOOKUP(LEFT(S_InputArk!$N277,LEN(S_InputArk!$N277)-2),Table_Questions[],2,FALSE)</f>
        <v>Kontekst (4.1) - Procesunderstøttet - Ikke angivet</v>
      </c>
    </row>
    <row r="278" spans="14:16" x14ac:dyDescent="0.25">
      <c r="N278" s="107" t="str">
        <f t="shared" si="4"/>
        <v>10.a4</v>
      </c>
      <c r="O278" s="98" t="s">
        <v>169</v>
      </c>
      <c r="P278" s="108" t="str">
        <f>VLOOKUP(LEFT(RIGHT(S_InputArk!$N278,2),1),Table_Kategorisering[],2,FALSE)&amp;" - "&amp;VLOOKUP(VALUE(RIGHT(S_InputArk!$N278,1)),Table_Modenhedsskala[],2,FALSE)&amp;" - "&amp;VLOOKUP(LEFT(S_InputArk!$N278,LEN(S_InputArk!$N278)-2),Table_Questions[],2,FALSE)</f>
        <v>Kontekst (4.1) - Styret og målbar - Ikke angivet</v>
      </c>
    </row>
    <row r="279" spans="14:16" x14ac:dyDescent="0.25">
      <c r="N279" s="107" t="str">
        <f t="shared" si="4"/>
        <v>10.a5</v>
      </c>
      <c r="O279" s="98" t="s">
        <v>169</v>
      </c>
      <c r="P279" s="108" t="str">
        <f>VLOOKUP(LEFT(RIGHT(S_InputArk!$N279,2),1),Table_Kategorisering[],2,FALSE)&amp;" - "&amp;VLOOKUP(VALUE(RIGHT(S_InputArk!$N279,1)),Table_Modenhedsskala[],2,FALSE)&amp;" - "&amp;VLOOKUP(LEFT(S_InputArk!$N279,LEN(S_InputArk!$N279)-2),Table_Questions[],2,FALSE)</f>
        <v>Kontekst (4.1) - Optimeret - Ikke angivet</v>
      </c>
    </row>
    <row r="280" spans="14:16" x14ac:dyDescent="0.25">
      <c r="N280" s="107" t="str">
        <f t="shared" si="4"/>
        <v>10.b1</v>
      </c>
      <c r="O280" s="98" t="s">
        <v>169</v>
      </c>
      <c r="P280" s="108" t="str">
        <f>VLOOKUP(LEFT(RIGHT(S_InputArk!$N280,2),1),Table_Kategorisering[],2,FALSE)&amp;" - "&amp;VLOOKUP(VALUE(RIGHT(S_InputArk!$N280,1)),Table_Modenhedsskala[],2,FALSE)&amp;" - "&amp;VLOOKUP(LEFT(S_InputArk!$N280,LEN(S_InputArk!$N280)-2),Table_Questions[],2,FALSE)</f>
        <v>Behov og forventninger (4.2) - Ad-hoc - Ikke angivet</v>
      </c>
    </row>
    <row r="281" spans="14:16" x14ac:dyDescent="0.25">
      <c r="N281" s="107" t="str">
        <f t="shared" si="4"/>
        <v>10.b2</v>
      </c>
      <c r="O281" s="98" t="s">
        <v>169</v>
      </c>
      <c r="P281" s="108" t="str">
        <f>VLOOKUP(LEFT(RIGHT(S_InputArk!$N281,2),1),Table_Kategorisering[],2,FALSE)&amp;" - "&amp;VLOOKUP(VALUE(RIGHT(S_InputArk!$N281,1)),Table_Modenhedsskala[],2,FALSE)&amp;" - "&amp;VLOOKUP(LEFT(S_InputArk!$N281,LEN(S_InputArk!$N281)-2),Table_Questions[],2,FALSE)</f>
        <v>Behov og forventninger (4.2) - Gentaget - Ikke angivet</v>
      </c>
    </row>
    <row r="282" spans="14:16" x14ac:dyDescent="0.25">
      <c r="N282" s="107" t="str">
        <f t="shared" si="4"/>
        <v>10.b3</v>
      </c>
      <c r="O282" s="98" t="s">
        <v>169</v>
      </c>
      <c r="P282" s="108" t="str">
        <f>VLOOKUP(LEFT(RIGHT(S_InputArk!$N282,2),1),Table_Kategorisering[],2,FALSE)&amp;" - "&amp;VLOOKUP(VALUE(RIGHT(S_InputArk!$N282,1)),Table_Modenhedsskala[],2,FALSE)&amp;" - "&amp;VLOOKUP(LEFT(S_InputArk!$N282,LEN(S_InputArk!$N282)-2),Table_Questions[],2,FALSE)</f>
        <v>Behov og forventninger (4.2) - Procesunderstøttet - Ikke angivet</v>
      </c>
    </row>
    <row r="283" spans="14:16" x14ac:dyDescent="0.25">
      <c r="N283" s="107" t="str">
        <f t="shared" si="4"/>
        <v>10.b4</v>
      </c>
      <c r="O283" s="98" t="s">
        <v>169</v>
      </c>
      <c r="P283" s="108" t="str">
        <f>VLOOKUP(LEFT(RIGHT(S_InputArk!$N283,2),1),Table_Kategorisering[],2,FALSE)&amp;" - "&amp;VLOOKUP(VALUE(RIGHT(S_InputArk!$N283,1)),Table_Modenhedsskala[],2,FALSE)&amp;" - "&amp;VLOOKUP(LEFT(S_InputArk!$N283,LEN(S_InputArk!$N283)-2),Table_Questions[],2,FALSE)</f>
        <v>Behov og forventninger (4.2) - Styret og målbar - Ikke angivet</v>
      </c>
    </row>
    <row r="284" spans="14:16" x14ac:dyDescent="0.25">
      <c r="N284" s="107" t="str">
        <f t="shared" si="4"/>
        <v>10.b5</v>
      </c>
      <c r="O284" s="98" t="s">
        <v>169</v>
      </c>
      <c r="P284" s="108" t="str">
        <f>VLOOKUP(LEFT(RIGHT(S_InputArk!$N284,2),1),Table_Kategorisering[],2,FALSE)&amp;" - "&amp;VLOOKUP(VALUE(RIGHT(S_InputArk!$N284,1)),Table_Modenhedsskala[],2,FALSE)&amp;" - "&amp;VLOOKUP(LEFT(S_InputArk!$N284,LEN(S_InputArk!$N284)-2),Table_Questions[],2,FALSE)</f>
        <v>Behov og forventninger (4.2) - Optimeret - Ikke angivet</v>
      </c>
    </row>
    <row r="285" spans="14:16" x14ac:dyDescent="0.25">
      <c r="N285" s="107" t="str">
        <f t="shared" si="4"/>
        <v>10.c1</v>
      </c>
      <c r="O285" s="98" t="s">
        <v>169</v>
      </c>
      <c r="P285" s="108" t="str">
        <f>VLOOKUP(LEFT(RIGHT(S_InputArk!$N285,2),1),Table_Kategorisering[],2,FALSE)&amp;" - "&amp;VLOOKUP(VALUE(RIGHT(S_InputArk!$N285,1)),Table_Modenhedsskala[],2,FALSE)&amp;" - "&amp;VLOOKUP(LEFT(S_InputArk!$N285,LEN(S_InputArk!$N285)-2),Table_Questions[],2,FALSE)</f>
        <v>Omfang (4.3) - Ad-hoc - Ikke angivet</v>
      </c>
    </row>
    <row r="286" spans="14:16" x14ac:dyDescent="0.25">
      <c r="N286" s="107" t="str">
        <f t="shared" si="4"/>
        <v>10.c2</v>
      </c>
      <c r="O286" s="98" t="s">
        <v>169</v>
      </c>
      <c r="P286" s="108" t="str">
        <f>VLOOKUP(LEFT(RIGHT(S_InputArk!$N286,2),1),Table_Kategorisering[],2,FALSE)&amp;" - "&amp;VLOOKUP(VALUE(RIGHT(S_InputArk!$N286,1)),Table_Modenhedsskala[],2,FALSE)&amp;" - "&amp;VLOOKUP(LEFT(S_InputArk!$N286,LEN(S_InputArk!$N286)-2),Table_Questions[],2,FALSE)</f>
        <v>Omfang (4.3) - Gentaget - Ikke angivet</v>
      </c>
    </row>
    <row r="287" spans="14:16" x14ac:dyDescent="0.25">
      <c r="N287" s="107" t="str">
        <f t="shared" si="4"/>
        <v>10.c3</v>
      </c>
      <c r="O287" s="98" t="s">
        <v>169</v>
      </c>
      <c r="P287" s="108" t="str">
        <f>VLOOKUP(LEFT(RIGHT(S_InputArk!$N287,2),1),Table_Kategorisering[],2,FALSE)&amp;" - "&amp;VLOOKUP(VALUE(RIGHT(S_InputArk!$N287,1)),Table_Modenhedsskala[],2,FALSE)&amp;" - "&amp;VLOOKUP(LEFT(S_InputArk!$N287,LEN(S_InputArk!$N287)-2),Table_Questions[],2,FALSE)</f>
        <v>Omfang (4.3) - Procesunderstøttet - Ikke angivet</v>
      </c>
    </row>
    <row r="288" spans="14:16" x14ac:dyDescent="0.25">
      <c r="N288" s="107" t="str">
        <f t="shared" si="4"/>
        <v>10.c4</v>
      </c>
      <c r="O288" s="98" t="s">
        <v>169</v>
      </c>
      <c r="P288" s="108" t="str">
        <f>VLOOKUP(LEFT(RIGHT(S_InputArk!$N288,2),1),Table_Kategorisering[],2,FALSE)&amp;" - "&amp;VLOOKUP(VALUE(RIGHT(S_InputArk!$N288,1)),Table_Modenhedsskala[],2,FALSE)&amp;" - "&amp;VLOOKUP(LEFT(S_InputArk!$N288,LEN(S_InputArk!$N288)-2),Table_Questions[],2,FALSE)</f>
        <v>Omfang (4.3) - Styret og målbar - Ikke angivet</v>
      </c>
    </row>
    <row r="289" spans="14:16" x14ac:dyDescent="0.25">
      <c r="N289" s="107" t="str">
        <f t="shared" si="4"/>
        <v>10.c5</v>
      </c>
      <c r="O289" s="98" t="s">
        <v>169</v>
      </c>
      <c r="P289" s="108" t="str">
        <f>VLOOKUP(LEFT(RIGHT(S_InputArk!$N289,2),1),Table_Kategorisering[],2,FALSE)&amp;" - "&amp;VLOOKUP(VALUE(RIGHT(S_InputArk!$N289,1)),Table_Modenhedsskala[],2,FALSE)&amp;" - "&amp;VLOOKUP(LEFT(S_InputArk!$N289,LEN(S_InputArk!$N289)-2),Table_Questions[],2,FALSE)</f>
        <v>Omfang (4.3) - Optimeret - Ikke angivet</v>
      </c>
    </row>
    <row r="290" spans="14:16" x14ac:dyDescent="0.25">
      <c r="N290" s="107" t="str">
        <f t="shared" si="4"/>
        <v>10.d1</v>
      </c>
      <c r="O290" s="98" t="s">
        <v>169</v>
      </c>
      <c r="P290" s="108" t="str">
        <f>VLOOKUP(LEFT(RIGHT(S_InputArk!$N290,2),1),Table_Kategorisering[],2,FALSE)&amp;" - "&amp;VLOOKUP(VALUE(RIGHT(S_InputArk!$N290,1)),Table_Modenhedsskala[],2,FALSE)&amp;" - "&amp;VLOOKUP(LEFT(S_InputArk!$N290,LEN(S_InputArk!$N290)-2),Table_Questions[],2,FALSE)</f>
        <v>Ledelsessystem (4.4) - Ad-hoc - Ikke angivet</v>
      </c>
    </row>
    <row r="291" spans="14:16" x14ac:dyDescent="0.25">
      <c r="N291" s="107" t="str">
        <f t="shared" si="4"/>
        <v>10.d2</v>
      </c>
      <c r="O291" s="98" t="s">
        <v>169</v>
      </c>
      <c r="P291" s="108" t="str">
        <f>VLOOKUP(LEFT(RIGHT(S_InputArk!$N291,2),1),Table_Kategorisering[],2,FALSE)&amp;" - "&amp;VLOOKUP(VALUE(RIGHT(S_InputArk!$N291,1)),Table_Modenhedsskala[],2,FALSE)&amp;" - "&amp;VLOOKUP(LEFT(S_InputArk!$N291,LEN(S_InputArk!$N291)-2),Table_Questions[],2,FALSE)</f>
        <v>Ledelsessystem (4.4) - Gentaget - Ikke angivet</v>
      </c>
    </row>
    <row r="292" spans="14:16" x14ac:dyDescent="0.25">
      <c r="N292" s="107" t="str">
        <f t="shared" si="4"/>
        <v>10.d3</v>
      </c>
      <c r="O292" s="98" t="s">
        <v>169</v>
      </c>
      <c r="P292" s="108" t="str">
        <f>VLOOKUP(LEFT(RIGHT(S_InputArk!$N292,2),1),Table_Kategorisering[],2,FALSE)&amp;" - "&amp;VLOOKUP(VALUE(RIGHT(S_InputArk!$N292,1)),Table_Modenhedsskala[],2,FALSE)&amp;" - "&amp;VLOOKUP(LEFT(S_InputArk!$N292,LEN(S_InputArk!$N292)-2),Table_Questions[],2,FALSE)</f>
        <v>Ledelsessystem (4.4) - Procesunderstøttet - Ikke angivet</v>
      </c>
    </row>
    <row r="293" spans="14:16" x14ac:dyDescent="0.25">
      <c r="N293" s="107" t="str">
        <f t="shared" si="4"/>
        <v>10.d4</v>
      </c>
      <c r="O293" s="98" t="s">
        <v>169</v>
      </c>
      <c r="P293" s="108" t="str">
        <f>VLOOKUP(LEFT(RIGHT(S_InputArk!$N293,2),1),Table_Kategorisering[],2,FALSE)&amp;" - "&amp;VLOOKUP(VALUE(RIGHT(S_InputArk!$N293,1)),Table_Modenhedsskala[],2,FALSE)&amp;" - "&amp;VLOOKUP(LEFT(S_InputArk!$N293,LEN(S_InputArk!$N293)-2),Table_Questions[],2,FALSE)</f>
        <v>Ledelsessystem (4.4) - Styret og målbar - Ikke angivet</v>
      </c>
    </row>
    <row r="294" spans="14:16" x14ac:dyDescent="0.25">
      <c r="N294" s="107" t="str">
        <f t="shared" si="4"/>
        <v>10.d5</v>
      </c>
      <c r="O294" s="98" t="s">
        <v>169</v>
      </c>
      <c r="P294" s="108" t="str">
        <f>VLOOKUP(LEFT(RIGHT(S_InputArk!$N294,2),1),Table_Kategorisering[],2,FALSE)&amp;" - "&amp;VLOOKUP(VALUE(RIGHT(S_InputArk!$N294,1)),Table_Modenhedsskala[],2,FALSE)&amp;" - "&amp;VLOOKUP(LEFT(S_InputArk!$N294,LEN(S_InputArk!$N294)-2),Table_Questions[],2,FALSE)</f>
        <v>Ledelsessystem (4.4) - Optimeret - Ikke angivet</v>
      </c>
    </row>
    <row r="295" spans="14:16" x14ac:dyDescent="0.25">
      <c r="N295" s="107" t="str">
        <f t="shared" si="4"/>
        <v>10.e1</v>
      </c>
      <c r="O295" s="98" t="s">
        <v>169</v>
      </c>
      <c r="P295" s="108" t="str">
        <f>VLOOKUP(LEFT(RIGHT(S_InputArk!$N295,2),1),Table_Kategorisering[],2,FALSE)&amp;" - "&amp;VLOOKUP(VALUE(RIGHT(S_InputArk!$N295,1)),Table_Modenhedsskala[],2,FALSE)&amp;" - "&amp;VLOOKUP(LEFT(S_InputArk!$N295,LEN(S_InputArk!$N295)-2),Table_Questions[],2,FALSE)</f>
        <v>N/A - Ad-hoc - Ikke angivet</v>
      </c>
    </row>
    <row r="296" spans="14:16" x14ac:dyDescent="0.25">
      <c r="N296" s="107" t="str">
        <f t="shared" si="4"/>
        <v>10.e2</v>
      </c>
      <c r="O296" s="98" t="s">
        <v>169</v>
      </c>
      <c r="P296" s="108" t="str">
        <f>VLOOKUP(LEFT(RIGHT(S_InputArk!$N296,2),1),Table_Kategorisering[],2,FALSE)&amp;" - "&amp;VLOOKUP(VALUE(RIGHT(S_InputArk!$N296,1)),Table_Modenhedsskala[],2,FALSE)&amp;" - "&amp;VLOOKUP(LEFT(S_InputArk!$N296,LEN(S_InputArk!$N296)-2),Table_Questions[],2,FALSE)</f>
        <v>N/A - Gentaget - Ikke angivet</v>
      </c>
    </row>
    <row r="297" spans="14:16" x14ac:dyDescent="0.25">
      <c r="N297" s="107" t="str">
        <f t="shared" si="4"/>
        <v>10.e3</v>
      </c>
      <c r="O297" s="98" t="s">
        <v>169</v>
      </c>
      <c r="P297" s="108" t="str">
        <f>VLOOKUP(LEFT(RIGHT(S_InputArk!$N297,2),1),Table_Kategorisering[],2,FALSE)&amp;" - "&amp;VLOOKUP(VALUE(RIGHT(S_InputArk!$N297,1)),Table_Modenhedsskala[],2,FALSE)&amp;" - "&amp;VLOOKUP(LEFT(S_InputArk!$N297,LEN(S_InputArk!$N297)-2),Table_Questions[],2,FALSE)</f>
        <v>N/A - Procesunderstøttet - Ikke angivet</v>
      </c>
    </row>
    <row r="298" spans="14:16" x14ac:dyDescent="0.25">
      <c r="N298" s="107" t="str">
        <f t="shared" si="4"/>
        <v>10.e4</v>
      </c>
      <c r="O298" s="98" t="s">
        <v>169</v>
      </c>
      <c r="P298" s="108" t="str">
        <f>VLOOKUP(LEFT(RIGHT(S_InputArk!$N298,2),1),Table_Kategorisering[],2,FALSE)&amp;" - "&amp;VLOOKUP(VALUE(RIGHT(S_InputArk!$N298,1)),Table_Modenhedsskala[],2,FALSE)&amp;" - "&amp;VLOOKUP(LEFT(S_InputArk!$N298,LEN(S_InputArk!$N298)-2),Table_Questions[],2,FALSE)</f>
        <v>N/A - Styret og målbar - Ikke angivet</v>
      </c>
    </row>
    <row r="299" spans="14:16" x14ac:dyDescent="0.25">
      <c r="N299" s="107" t="str">
        <f t="shared" si="4"/>
        <v>10.e5</v>
      </c>
      <c r="O299" s="98" t="s">
        <v>169</v>
      </c>
      <c r="P299" s="108" t="str">
        <f>VLOOKUP(LEFT(RIGHT(S_InputArk!$N299,2),1),Table_Kategorisering[],2,FALSE)&amp;" - "&amp;VLOOKUP(VALUE(RIGHT(S_InputArk!$N299,1)),Table_Modenhedsskala[],2,FALSE)&amp;" - "&amp;VLOOKUP(LEFT(S_InputArk!$N299,LEN(S_InputArk!$N299)-2),Table_Questions[],2,FALSE)</f>
        <v>N/A - Optimeret - Ikke angivet</v>
      </c>
    </row>
    <row r="300" spans="14:16" x14ac:dyDescent="0.25">
      <c r="N300" s="107" t="str">
        <f t="shared" si="4"/>
        <v>10.f1</v>
      </c>
      <c r="O300" s="98" t="s">
        <v>169</v>
      </c>
      <c r="P300" s="108" t="str">
        <f>VLOOKUP(LEFT(RIGHT(S_InputArk!$N300,2),1),Table_Kategorisering[],2,FALSE)&amp;" - "&amp;VLOOKUP(VALUE(RIGHT(S_InputArk!$N300,1)),Table_Modenhedsskala[],2,FALSE)&amp;" - "&amp;VLOOKUP(LEFT(S_InputArk!$N300,LEN(S_InputArk!$N300)-2),Table_Questions[],2,FALSE)</f>
        <v>N/A - Ad-hoc - Ikke angivet</v>
      </c>
    </row>
    <row r="301" spans="14:16" x14ac:dyDescent="0.25">
      <c r="N301" s="107" t="str">
        <f t="shared" si="4"/>
        <v>10.f2</v>
      </c>
      <c r="O301" s="98" t="s">
        <v>169</v>
      </c>
      <c r="P301" s="108" t="str">
        <f>VLOOKUP(LEFT(RIGHT(S_InputArk!$N301,2),1),Table_Kategorisering[],2,FALSE)&amp;" - "&amp;VLOOKUP(VALUE(RIGHT(S_InputArk!$N301,1)),Table_Modenhedsskala[],2,FALSE)&amp;" - "&amp;VLOOKUP(LEFT(S_InputArk!$N301,LEN(S_InputArk!$N301)-2),Table_Questions[],2,FALSE)</f>
        <v>N/A - Gentaget - Ikke angivet</v>
      </c>
    </row>
    <row r="302" spans="14:16" x14ac:dyDescent="0.25">
      <c r="N302" s="107" t="str">
        <f t="shared" si="4"/>
        <v>10.f3</v>
      </c>
      <c r="O302" s="98" t="s">
        <v>169</v>
      </c>
      <c r="P302" s="108" t="str">
        <f>VLOOKUP(LEFT(RIGHT(S_InputArk!$N302,2),1),Table_Kategorisering[],2,FALSE)&amp;" - "&amp;VLOOKUP(VALUE(RIGHT(S_InputArk!$N302,1)),Table_Modenhedsskala[],2,FALSE)&amp;" - "&amp;VLOOKUP(LEFT(S_InputArk!$N302,LEN(S_InputArk!$N302)-2),Table_Questions[],2,FALSE)</f>
        <v>N/A - Procesunderstøttet - Ikke angivet</v>
      </c>
    </row>
    <row r="303" spans="14:16" x14ac:dyDescent="0.25">
      <c r="N303" s="107" t="str">
        <f t="shared" si="4"/>
        <v>10.f4</v>
      </c>
      <c r="O303" s="98" t="s">
        <v>169</v>
      </c>
      <c r="P303" s="108" t="str">
        <f>VLOOKUP(LEFT(RIGHT(S_InputArk!$N303,2),1),Table_Kategorisering[],2,FALSE)&amp;" - "&amp;VLOOKUP(VALUE(RIGHT(S_InputArk!$N303,1)),Table_Modenhedsskala[],2,FALSE)&amp;" - "&amp;VLOOKUP(LEFT(S_InputArk!$N303,LEN(S_InputArk!$N303)-2),Table_Questions[],2,FALSE)</f>
        <v>N/A - Styret og målbar - Ikke angivet</v>
      </c>
    </row>
    <row r="304" spans="14:16" x14ac:dyDescent="0.25">
      <c r="N304" s="107" t="str">
        <f t="shared" si="4"/>
        <v>10.f5</v>
      </c>
      <c r="O304" s="98" t="s">
        <v>169</v>
      </c>
      <c r="P304" s="108" t="str">
        <f>VLOOKUP(LEFT(RIGHT(S_InputArk!$N304,2),1),Table_Kategorisering[],2,FALSE)&amp;" - "&amp;VLOOKUP(VALUE(RIGHT(S_InputArk!$N304,1)),Table_Modenhedsskala[],2,FALSE)&amp;" - "&amp;VLOOKUP(LEFT(S_InputArk!$N304,LEN(S_InputArk!$N304)-2),Table_Questions[],2,FALSE)</f>
        <v>N/A - Optimeret - Ikke angivet</v>
      </c>
    </row>
    <row r="305" spans="16:16" x14ac:dyDescent="0.25">
      <c r="P305" s="109"/>
    </row>
    <row r="306" spans="16:16" x14ac:dyDescent="0.25">
      <c r="P306" s="109"/>
    </row>
    <row r="307" spans="16:16" x14ac:dyDescent="0.25">
      <c r="P307" s="109"/>
    </row>
    <row r="308" spans="16:16" x14ac:dyDescent="0.25">
      <c r="P308" s="109"/>
    </row>
    <row r="309" spans="16:16" x14ac:dyDescent="0.25">
      <c r="P309" s="109"/>
    </row>
    <row r="310" spans="16:16" x14ac:dyDescent="0.25">
      <c r="P310" s="109"/>
    </row>
    <row r="311" spans="16:16" x14ac:dyDescent="0.25">
      <c r="P311" s="109"/>
    </row>
  </sheetData>
  <conditionalFormatting sqref="I4:L4 I14:L14 I5:I13 K5:L13">
    <cfRule type="beginsWith" dxfId="44" priority="7" operator="beginsWith" text="Ikke angivet">
      <formula>LEFT(I4,LEN("Ikke angivet"))="Ikke angivet"</formula>
    </cfRule>
  </conditionalFormatting>
  <conditionalFormatting sqref="N5:P304">
    <cfRule type="containsText" dxfId="43" priority="5" operator="containsText" text="Ikke relevant">
      <formula>NOT(ISERROR(SEARCH("Ikke relevant",N5)))</formula>
    </cfRule>
    <cfRule type="beginsWith" dxfId="42" priority="9" operator="beginsWith" text="Ikke angivet">
      <formula>LEFT(N5,LEN("Ikke angivet"))="Ikke angivet"</formula>
    </cfRule>
  </conditionalFormatting>
  <conditionalFormatting sqref="J5:J13">
    <cfRule type="beginsWith" dxfId="41" priority="1" operator="beginsWith" text="Ikke angivet">
      <formula>LEFT(J5,LEN("Ikke angivet"))="Ikke angivet"</formula>
    </cfRule>
  </conditionalFormatting>
  <pageMargins left="0.7" right="0.7" top="0.75" bottom="0.75" header="0.3" footer="0.3"/>
  <pageSetup paperSize="9"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iconSet" priority="3" id="{B6F96962-1F2E-4302-A9E1-139BA09503F7}">
            <x14:iconSet showValue="0" custom="1">
              <x14:cfvo type="percent">
                <xm:f>0</xm:f>
              </x14:cfvo>
              <x14:cfvo type="num">
                <xm:f>0</xm:f>
              </x14:cfvo>
              <x14:cfvo type="num">
                <xm:f>1</xm:f>
              </x14:cfvo>
              <x14:cfIcon iconSet="3Symbols2" iconId="0"/>
              <x14:cfIcon iconSet="3Symbols2" iconId="0"/>
              <x14:cfIcon iconSet="3Symbols2" iconId="2"/>
            </x14:iconSet>
          </x14:cfRule>
          <xm:sqref>F14:F15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_Results">
    <tabColor rgb="FF5F7F8F"/>
  </sheetPr>
  <dimension ref="A1:S64"/>
  <sheetViews>
    <sheetView showGridLines="0" topLeftCell="A11" zoomScale="80" zoomScaleNormal="80" workbookViewId="0">
      <selection activeCell="H18" sqref="H18"/>
    </sheetView>
  </sheetViews>
  <sheetFormatPr defaultRowHeight="15" x14ac:dyDescent="0.25"/>
  <cols>
    <col min="1" max="1" width="13.28515625" bestFit="1" customWidth="1"/>
    <col min="2" max="2" width="16.28515625" customWidth="1"/>
    <col min="3" max="4" width="18.7109375" customWidth="1"/>
    <col min="5" max="5" width="11.28515625" bestFit="1" customWidth="1"/>
    <col min="6" max="6" width="33.42578125" style="54" bestFit="1" customWidth="1"/>
    <col min="7" max="7" width="12" bestFit="1" customWidth="1"/>
    <col min="8" max="8" width="29.42578125" customWidth="1"/>
    <col min="9" max="9" width="24.85546875" customWidth="1"/>
    <col min="10" max="10" width="22.140625" customWidth="1"/>
    <col min="11" max="11" width="26.140625" customWidth="1"/>
    <col min="12" max="12" width="26" customWidth="1"/>
    <col min="13" max="13" width="27.5703125" customWidth="1"/>
    <col min="14" max="14" width="14.85546875" customWidth="1"/>
    <col min="15" max="15" width="12.28515625" customWidth="1"/>
    <col min="16" max="16" width="22.28515625" customWidth="1"/>
    <col min="17" max="18" width="9.28515625" customWidth="1"/>
  </cols>
  <sheetData>
    <row r="1" spans="1:17" x14ac:dyDescent="0.25">
      <c r="A1" s="49" t="s">
        <v>67</v>
      </c>
      <c r="B1" s="49" t="s">
        <v>126</v>
      </c>
      <c r="C1" s="49" t="s">
        <v>74</v>
      </c>
      <c r="D1" s="49" t="s">
        <v>92</v>
      </c>
      <c r="E1" s="55" t="s">
        <v>75</v>
      </c>
      <c r="F1" s="53" t="s">
        <v>109</v>
      </c>
      <c r="G1" s="49" t="s">
        <v>91</v>
      </c>
      <c r="H1" s="49" t="s">
        <v>223</v>
      </c>
      <c r="I1" s="49" t="s">
        <v>110</v>
      </c>
      <c r="J1" s="49" t="s">
        <v>111</v>
      </c>
      <c r="K1" s="49" t="s">
        <v>122</v>
      </c>
      <c r="L1" s="64" t="s">
        <v>16</v>
      </c>
      <c r="M1" s="64" t="s">
        <v>99</v>
      </c>
      <c r="N1" s="64" t="s">
        <v>100</v>
      </c>
      <c r="O1" s="64" t="s">
        <v>16</v>
      </c>
    </row>
    <row r="2" spans="1:17" x14ac:dyDescent="0.25">
      <c r="A2" s="50" t="str">
        <f t="shared" ref="A2:A7" si="0">IF(Ministeriuminput="","",Ministeriuminput)</f>
        <v/>
      </c>
      <c r="B2" s="50" t="str">
        <f t="shared" ref="B2:B7" si="1">IF(Styrelse="","",Styrelse)</f>
        <v/>
      </c>
      <c r="C2" s="50" t="str">
        <f t="shared" ref="C2:C7" si="2">IF(Name="","",Name)</f>
        <v/>
      </c>
      <c r="D2" s="50" t="str">
        <f t="shared" ref="D2:D7" si="3">IF(Mail="","",Mail)</f>
        <v/>
      </c>
      <c r="E2" s="51" t="str">
        <f t="shared" ref="E2:E7" si="4">IF(Date="","",Date)</f>
        <v/>
      </c>
      <c r="F2" s="148" t="str">
        <f>VLOOKUP(LEFT(MasterTable[[#All],[Spørgsmål]],LEN(MasterTable[[#This Row],[Spørgsmål]])-1),Table_Questions[#All],2,FALSE)</f>
        <v>Organisationens kontekst</v>
      </c>
      <c r="G2" s="50" t="str">
        <f>ROUNDUP(ROW(S_InputArk!$N1)/6,0)&amp;"."&amp;CHOOSE(IF(MOD(ROW(S_InputArk!$N1),6)=0,6,MOD(ROW(S_InputArk!$N1),6)),"a","b","c","d","e","f")</f>
        <v>1.a</v>
      </c>
      <c r="H2" s="148" t="str">
        <f>VLOOKUP(MasterTable[[#This Row],[Spørgsmål]],S_Lookupsheet!AT:AV,3,FALSE)</f>
        <v>Kontekst (4.1)</v>
      </c>
      <c r="I2" s="50" t="e">
        <f>INDEX(Table_Modenhedsskala[Nummer],MATCH(VLOOKUP(MasterTable[Spørgsmål],'3 Spørgeramme'!A:N,13,FALSE),Table_Modenhedsskala[Modenhedsgrad],0))</f>
        <v>#N/A</v>
      </c>
      <c r="J2" s="52">
        <f>VLOOKUP(LEFT(MasterTable[[#All],[Spørgsmål]],LEN(MasterTable[[#This Row],[Spørgsmål]])-1),Table_Questions[#All],5,FALSE)</f>
        <v>4</v>
      </c>
      <c r="K2" s="50" t="e">
        <f>INDEX(Table_Modenhedsskala[Nummer],MATCH(VLOOKUP(LEFT(MasterTable[Spørgsmål],LEN(MasterTable[[#This Row],[Spørgsmål]])-1)&amp;"g",'3 Spørgeramme'!A:N,13,FALSE),Table_Modenhedsskala[Modenhedsgrad],0))</f>
        <v>#N/A</v>
      </c>
      <c r="L2" s="242">
        <f>INDEX(Table_Modenhedsskala[Nummer],MATCH(VLOOKUP(LEFT(MasterTable[Spørgsmål],LEN(MasterTable[[#This Row],[Spørgsmål]])-1)&amp;"h",'3 Spørgeramme'!A:N,13,FALSE),Table_Modenhedsskala[Modenhedsgrad],0))</f>
        <v>4</v>
      </c>
      <c r="M2" s="62" t="str">
        <f>S_InputArk!I5</f>
        <v>Organisationens kontekst</v>
      </c>
      <c r="N2" s="63">
        <f>IFERROR(INDEX(MasterTable[Ønsket niveau],MATCH(Table27[[#This Row],[Unik liste]],MasterTable[Spørgeområde],0)),"")</f>
        <v>4</v>
      </c>
      <c r="O2" s="62">
        <f>S_InputArk!L5</f>
        <v>4</v>
      </c>
      <c r="Q2" s="240"/>
    </row>
    <row r="3" spans="1:17" x14ac:dyDescent="0.25">
      <c r="A3" s="50" t="str">
        <f t="shared" si="0"/>
        <v/>
      </c>
      <c r="B3" s="50" t="str">
        <f t="shared" si="1"/>
        <v/>
      </c>
      <c r="C3" s="50" t="str">
        <f t="shared" si="2"/>
        <v/>
      </c>
      <c r="D3" s="50" t="str">
        <f t="shared" si="3"/>
        <v/>
      </c>
      <c r="E3" s="51" t="str">
        <f t="shared" si="4"/>
        <v/>
      </c>
      <c r="F3" s="148" t="str">
        <f>VLOOKUP(LEFT(MasterTable[[#All],[Spørgsmål]],LEN(MasterTable[[#This Row],[Spørgsmål]])-1),Table_Questions[#All],2,FALSE)</f>
        <v>Organisationens kontekst</v>
      </c>
      <c r="G3" s="50" t="str">
        <f>ROUNDUP(ROW(S_InputArk!$N2)/6,0)&amp;"."&amp;CHOOSE(IF(MOD(ROW(S_InputArk!$N2),6)=0,6,MOD(ROW(S_InputArk!$N2),6)),"a","b","c","d","e","f")</f>
        <v>1.b</v>
      </c>
      <c r="H3" s="148" t="str">
        <f>VLOOKUP(MasterTable[[#This Row],[Spørgsmål]],S_Lookupsheet!AT:AV,3,FALSE)</f>
        <v>Behov og forventninger (4.2)</v>
      </c>
      <c r="I3" s="50" t="e">
        <f>INDEX(Table_Modenhedsskala[Nummer],MATCH(VLOOKUP(MasterTable[Spørgsmål],'3 Spørgeramme'!A:N,13,FALSE),Table_Modenhedsskala[Modenhedsgrad],0))</f>
        <v>#N/A</v>
      </c>
      <c r="J3" s="52">
        <f>VLOOKUP(LEFT(MasterTable[[#All],[Spørgsmål]],LEN(MasterTable[[#This Row],[Spørgsmål]])-1),Table_Questions[#All],5,FALSE)</f>
        <v>4</v>
      </c>
      <c r="K3" s="52" t="e">
        <f>INDEX(Table_Modenhedsskala[Nummer],MATCH(VLOOKUP(LEFT(MasterTable[Spørgsmål],LEN(MasterTable[[#This Row],[Spørgsmål]])-1)&amp;"g",'3 Spørgeramme'!A:N,13,FALSE),Table_Modenhedsskala[Modenhedsgrad],0))</f>
        <v>#N/A</v>
      </c>
      <c r="L3" s="241">
        <f>INDEX(Table_Modenhedsskala[Nummer],MATCH(VLOOKUP(LEFT(MasterTable[Spørgsmål],LEN(MasterTable[[#This Row],[Spørgsmål]])-1)&amp;"h",'3 Spørgeramme'!A:N,13,FALSE),Table_Modenhedsskala[Modenhedsgrad],0))</f>
        <v>4</v>
      </c>
      <c r="M3" s="62" t="str">
        <f>S_InputArk!I6</f>
        <v>Lederskab</v>
      </c>
      <c r="N3" s="63">
        <f>IFERROR(INDEX(MasterTable[Ønsket niveau],MATCH(Table27[[#This Row],[Unik liste]],MasterTable[Spørgeområde],0)),"")</f>
        <v>4</v>
      </c>
      <c r="O3" s="62">
        <f>S_InputArk!L6</f>
        <v>4</v>
      </c>
    </row>
    <row r="4" spans="1:17" x14ac:dyDescent="0.25">
      <c r="A4" s="50" t="str">
        <f t="shared" si="0"/>
        <v/>
      </c>
      <c r="B4" s="50" t="str">
        <f t="shared" si="1"/>
        <v/>
      </c>
      <c r="C4" s="50" t="str">
        <f t="shared" si="2"/>
        <v/>
      </c>
      <c r="D4" s="50" t="str">
        <f t="shared" si="3"/>
        <v/>
      </c>
      <c r="E4" s="51" t="str">
        <f t="shared" si="4"/>
        <v/>
      </c>
      <c r="F4" s="148" t="str">
        <f>VLOOKUP(LEFT(MasterTable[[#All],[Spørgsmål]],LEN(MasterTable[[#This Row],[Spørgsmål]])-1),Table_Questions[#All],2,FALSE)</f>
        <v>Organisationens kontekst</v>
      </c>
      <c r="G4" s="50" t="str">
        <f>ROUNDUP(ROW(S_InputArk!$N3)/6,0)&amp;"."&amp;CHOOSE(IF(MOD(ROW(S_InputArk!$N3),6)=0,6,MOD(ROW(S_InputArk!$N3),6)),"a","b","c","d","e","f")</f>
        <v>1.c</v>
      </c>
      <c r="H4" s="148" t="str">
        <f>VLOOKUP(MasterTable[[#This Row],[Spørgsmål]],S_Lookupsheet!AT:AV,3,FALSE)</f>
        <v>Omfang (4.3)</v>
      </c>
      <c r="I4" s="50" t="e">
        <f>INDEX(Table_Modenhedsskala[Nummer],MATCH(VLOOKUP(MasterTable[Spørgsmål],'3 Spørgeramme'!A:N,13,FALSE),Table_Modenhedsskala[Modenhedsgrad],0))</f>
        <v>#N/A</v>
      </c>
      <c r="J4" s="52">
        <f>VLOOKUP(LEFT(MasterTable[[#All],[Spørgsmål]],LEN(MasterTable[[#This Row],[Spørgsmål]])-1),Table_Questions[#All],5,FALSE)</f>
        <v>4</v>
      </c>
      <c r="K4" s="52" t="e">
        <f>INDEX(Table_Modenhedsskala[Nummer],MATCH(VLOOKUP(LEFT(MasterTable[Spørgsmål],LEN(MasterTable[[#This Row],[Spørgsmål]])-1)&amp;"g",'3 Spørgeramme'!A:N,13,FALSE),Table_Modenhedsskala[Modenhedsgrad],0))</f>
        <v>#N/A</v>
      </c>
      <c r="L4" s="241">
        <f>INDEX(Table_Modenhedsskala[Nummer],MATCH(VLOOKUP(LEFT(MasterTable[Spørgsmål],LEN(MasterTable[[#This Row],[Spørgsmål]])-1)&amp;"h",'3 Spørgeramme'!A:N,13,FALSE),Table_Modenhedsskala[Modenhedsgrad],0))</f>
        <v>4</v>
      </c>
      <c r="M4" s="62" t="str">
        <f>S_InputArk!I7</f>
        <v>Planlægning</v>
      </c>
      <c r="N4" s="63">
        <f>IFERROR(INDEX(MasterTable[Ønsket niveau],MATCH(Table27[[#This Row],[Unik liste]],MasterTable[Spørgeområde],0)),"")</f>
        <v>4</v>
      </c>
      <c r="O4" s="62">
        <f>S_InputArk!L7</f>
        <v>4</v>
      </c>
    </row>
    <row r="5" spans="1:17" x14ac:dyDescent="0.25">
      <c r="A5" s="50" t="str">
        <f t="shared" si="0"/>
        <v/>
      </c>
      <c r="B5" s="50" t="str">
        <f t="shared" si="1"/>
        <v/>
      </c>
      <c r="C5" s="50" t="str">
        <f t="shared" si="2"/>
        <v/>
      </c>
      <c r="D5" s="50" t="str">
        <f t="shared" si="3"/>
        <v/>
      </c>
      <c r="E5" s="51" t="str">
        <f t="shared" si="4"/>
        <v/>
      </c>
      <c r="F5" s="148" t="str">
        <f>VLOOKUP(LEFT(MasterTable[[#All],[Spørgsmål]],LEN(MasterTable[[#This Row],[Spørgsmål]])-1),Table_Questions[#All],2,FALSE)</f>
        <v>Organisationens kontekst</v>
      </c>
      <c r="G5" s="50" t="str">
        <f>ROUNDUP(ROW(S_InputArk!$N4)/6,0)&amp;"."&amp;CHOOSE(IF(MOD(ROW(S_InputArk!$N4),6)=0,6,MOD(ROW(S_InputArk!$N4),6)),"a","b","c","d","e","f")</f>
        <v>1.d</v>
      </c>
      <c r="H5" s="148" t="str">
        <f>VLOOKUP(MasterTable[[#This Row],[Spørgsmål]],S_Lookupsheet!AT:AV,3,FALSE)</f>
        <v>Ledelsessystem (4.4)</v>
      </c>
      <c r="I5" s="50" t="e">
        <f>INDEX(Table_Modenhedsskala[Nummer],MATCH(VLOOKUP(MasterTable[Spørgsmål],'3 Spørgeramme'!A:N,13,FALSE),Table_Modenhedsskala[Modenhedsgrad],0))</f>
        <v>#N/A</v>
      </c>
      <c r="J5" s="52">
        <f>VLOOKUP(LEFT(MasterTable[[#All],[Spørgsmål]],LEN(MasterTable[[#This Row],[Spørgsmål]])-1),Table_Questions[#All],5,FALSE)</f>
        <v>4</v>
      </c>
      <c r="K5" s="52" t="e">
        <f>INDEX(Table_Modenhedsskala[Nummer],MATCH(VLOOKUP(LEFT(MasterTable[Spørgsmål],LEN(MasterTable[[#This Row],[Spørgsmål]])-1)&amp;"g",'3 Spørgeramme'!A:N,13,FALSE),Table_Modenhedsskala[Modenhedsgrad],0))</f>
        <v>#N/A</v>
      </c>
      <c r="L5" s="241">
        <f>INDEX(Table_Modenhedsskala[Nummer],MATCH(VLOOKUP(LEFT(MasterTable[Spørgsmål],LEN(MasterTable[[#This Row],[Spørgsmål]])-1)&amp;"h",'3 Spørgeramme'!A:N,13,FALSE),Table_Modenhedsskala[Modenhedsgrad],0))</f>
        <v>4</v>
      </c>
      <c r="M5" s="62" t="str">
        <f>S_InputArk!I8</f>
        <v>Support</v>
      </c>
      <c r="N5" s="63">
        <f>IFERROR(INDEX(MasterTable[Ønsket niveau],MATCH(Table27[[#This Row],[Unik liste]],MasterTable[Spørgeområde],0)),"")</f>
        <v>4</v>
      </c>
      <c r="O5" s="62">
        <f>S_InputArk!L8</f>
        <v>4</v>
      </c>
    </row>
    <row r="6" spans="1:17" x14ac:dyDescent="0.25">
      <c r="A6" s="50" t="str">
        <f t="shared" si="0"/>
        <v/>
      </c>
      <c r="B6" s="50" t="str">
        <f t="shared" si="1"/>
        <v/>
      </c>
      <c r="C6" s="50" t="str">
        <f t="shared" si="2"/>
        <v/>
      </c>
      <c r="D6" s="50" t="str">
        <f t="shared" si="3"/>
        <v/>
      </c>
      <c r="E6" s="51" t="str">
        <f t="shared" si="4"/>
        <v/>
      </c>
      <c r="F6" s="148" t="str">
        <f>VLOOKUP(LEFT(MasterTable[[#All],[Spørgsmål]],LEN(MasterTable[[#This Row],[Spørgsmål]])-1),Table_Questions[#All],2,FALSE)</f>
        <v>Organisationens kontekst</v>
      </c>
      <c r="G6" s="50" t="str">
        <f>ROUNDUP(ROW(S_InputArk!$N5)/6,0)&amp;"."&amp;CHOOSE(IF(MOD(ROW(S_InputArk!$N5),6)=0,6,MOD(ROW(S_InputArk!$N5),6)),"a","b","c","d","e","f")</f>
        <v>1.e</v>
      </c>
      <c r="H6" s="148" t="str">
        <f>VLOOKUP(MasterTable[[#This Row],[Spørgsmål]],S_Lookupsheet!AT:AV,3,FALSE)</f>
        <v>N/A</v>
      </c>
      <c r="I6" s="50" t="e">
        <f>INDEX(Table_Modenhedsskala[Nummer],MATCH(VLOOKUP(MasterTable[Spørgsmål],'3 Spørgeramme'!A:N,13,FALSE),Table_Modenhedsskala[Modenhedsgrad],0))</f>
        <v>#N/A</v>
      </c>
      <c r="J6" s="52">
        <f>VLOOKUP(LEFT(MasterTable[[#All],[Spørgsmål]],LEN(MasterTable[[#This Row],[Spørgsmål]])-1),Table_Questions[#All],5,FALSE)</f>
        <v>4</v>
      </c>
      <c r="K6" s="52" t="e">
        <f>INDEX(Table_Modenhedsskala[Nummer],MATCH(VLOOKUP(LEFT(MasterTable[Spørgsmål],LEN(MasterTable[[#This Row],[Spørgsmål]])-1)&amp;"g",'3 Spørgeramme'!A:N,13,FALSE),Table_Modenhedsskala[Modenhedsgrad],0))</f>
        <v>#N/A</v>
      </c>
      <c r="L6" s="241">
        <f>INDEX(Table_Modenhedsskala[Nummer],MATCH(VLOOKUP(LEFT(MasterTable[Spørgsmål],LEN(MasterTable[[#This Row],[Spørgsmål]])-1)&amp;"h",'3 Spørgeramme'!A:N,13,FALSE),Table_Modenhedsskala[Modenhedsgrad],0))</f>
        <v>4</v>
      </c>
      <c r="M6" s="62" t="str">
        <f>S_InputArk!I9</f>
        <v xml:space="preserve">Drift </v>
      </c>
      <c r="N6" s="63">
        <f>IFERROR(INDEX(MasterTable[Ønsket niveau],MATCH(Table27[[#This Row],[Unik liste]],MasterTable[Spørgeområde],0)),"")</f>
        <v>4</v>
      </c>
      <c r="O6" s="62">
        <f>S_InputArk!L9</f>
        <v>4</v>
      </c>
    </row>
    <row r="7" spans="1:17" x14ac:dyDescent="0.25">
      <c r="A7" s="50" t="str">
        <f t="shared" si="0"/>
        <v/>
      </c>
      <c r="B7" s="50" t="str">
        <f t="shared" si="1"/>
        <v/>
      </c>
      <c r="C7" s="50" t="str">
        <f t="shared" si="2"/>
        <v/>
      </c>
      <c r="D7" s="50" t="str">
        <f t="shared" si="3"/>
        <v/>
      </c>
      <c r="E7" s="51" t="str">
        <f t="shared" si="4"/>
        <v/>
      </c>
      <c r="F7" s="148" t="str">
        <f>VLOOKUP(LEFT(MasterTable[[#All],[Spørgsmål]],LEN(MasterTable[[#This Row],[Spørgsmål]])-1),Table_Questions[#All],2,FALSE)</f>
        <v>Organisationens kontekst</v>
      </c>
      <c r="G7" s="50" t="str">
        <f>ROUNDUP(ROW(S_InputArk!$N6)/6,0)&amp;"."&amp;CHOOSE(IF(MOD(ROW(S_InputArk!$N6),6)=0,6,MOD(ROW(S_InputArk!$N6),6)),"a","b","c","d","e","f")</f>
        <v>1.f</v>
      </c>
      <c r="H7" s="148" t="str">
        <f>VLOOKUP(MasterTable[[#This Row],[Spørgsmål]],S_Lookupsheet!AT:AV,3,FALSE)</f>
        <v>N/A</v>
      </c>
      <c r="I7" s="50" t="e">
        <f>INDEX(Table_Modenhedsskala[Nummer],MATCH(VLOOKUP(MasterTable[Spørgsmål],'3 Spørgeramme'!A:N,13,FALSE),Table_Modenhedsskala[Modenhedsgrad],0))</f>
        <v>#N/A</v>
      </c>
      <c r="J7" s="52">
        <f>VLOOKUP(LEFT(MasterTable[[#All],[Spørgsmål]],LEN(MasterTable[[#This Row],[Spørgsmål]])-1),Table_Questions[#All],5,FALSE)</f>
        <v>4</v>
      </c>
      <c r="K7" s="52" t="e">
        <f>INDEX(Table_Modenhedsskala[Nummer],MATCH(VLOOKUP(LEFT(MasterTable[Spørgsmål],LEN(MasterTable[[#This Row],[Spørgsmål]])-1)&amp;"g",'3 Spørgeramme'!A:N,13,FALSE),Table_Modenhedsskala[Modenhedsgrad],0))</f>
        <v>#N/A</v>
      </c>
      <c r="L7" s="241">
        <f>INDEX(Table_Modenhedsskala[Nummer],MATCH(VLOOKUP(LEFT(MasterTable[Spørgsmål],LEN(MasterTable[[#This Row],[Spørgsmål]])-1)&amp;"h",'3 Spørgeramme'!A:N,13,FALSE),Table_Modenhedsskala[Modenhedsgrad],0))</f>
        <v>4</v>
      </c>
      <c r="M7" s="62" t="str">
        <f>S_InputArk!I10</f>
        <v>Evaluering</v>
      </c>
      <c r="N7" s="63">
        <f>IFERROR(INDEX(MasterTable[Ønsket niveau],MATCH(Table27[[#This Row],[Unik liste]],MasterTable[Spørgeområde],0)),"")</f>
        <v>4</v>
      </c>
      <c r="O7" s="62">
        <f>S_InputArk!L10</f>
        <v>4</v>
      </c>
    </row>
    <row r="8" spans="1:17" x14ac:dyDescent="0.25">
      <c r="A8" s="52" t="str">
        <f t="shared" ref="A8:A43" si="5">IF(Ministeriuminput="","",Ministeriuminput)</f>
        <v/>
      </c>
      <c r="B8" s="52" t="str">
        <f t="shared" ref="B8:B43" si="6">IF(Styrelse="","",Styrelse)</f>
        <v/>
      </c>
      <c r="C8" s="52" t="str">
        <f t="shared" ref="C8:C43" si="7">IF(Name="","",Name)</f>
        <v/>
      </c>
      <c r="D8" s="52" t="str">
        <f t="shared" ref="D8:D43" si="8">IF(Mail="","",Mail)</f>
        <v/>
      </c>
      <c r="E8" s="51" t="str">
        <f t="shared" ref="E8:E43" si="9">IF(Date="","",Date)</f>
        <v/>
      </c>
      <c r="F8" s="148" t="str">
        <f>VLOOKUP(LEFT(MasterTable[[#All],[Spørgsmål]],LEN(MasterTable[[#This Row],[Spørgsmål]])-1),Table_Questions[#All],2,FALSE)</f>
        <v>Lederskab</v>
      </c>
      <c r="G8" s="50" t="str">
        <f>ROUNDUP(ROW(S_InputArk!$N7)/6,0)&amp;"."&amp;CHOOSE(IF(MOD(ROW(S_InputArk!$N7),6)=0,6,MOD(ROW(S_InputArk!$N7),6)),"a","b","c","d","e","f")</f>
        <v>2.a</v>
      </c>
      <c r="H8" s="148" t="str">
        <f>VLOOKUP(MasterTable[[#This Row],[Spørgsmål]],S_Lookupsheet!AT:AV,3,FALSE)</f>
        <v>Lederskab og engagement (5.1)</v>
      </c>
      <c r="I8" s="50" t="e">
        <f>INDEX(Table_Modenhedsskala[Nummer],MATCH(VLOOKUP(MasterTable[Spørgsmål],'3 Spørgeramme'!A:N,13,FALSE),Table_Modenhedsskala[Modenhedsgrad],0))</f>
        <v>#N/A</v>
      </c>
      <c r="J8" s="52">
        <f>VLOOKUP(LEFT(MasterTable[[#All],[Spørgsmål]],LEN(MasterTable[[#This Row],[Spørgsmål]])-1),Table_Questions[#All],5,FALSE)</f>
        <v>4</v>
      </c>
      <c r="K8" s="52" t="e">
        <f>INDEX(Table_Modenhedsskala[Nummer],MATCH(VLOOKUP(LEFT(MasterTable[Spørgsmål],LEN(MasterTable[[#This Row],[Spørgsmål]])-1)&amp;"g",'3 Spørgeramme'!A:N,13,FALSE),Table_Modenhedsskala[Modenhedsgrad],0))</f>
        <v>#N/A</v>
      </c>
      <c r="L8" s="241">
        <f>INDEX(Table_Modenhedsskala[Nummer],MATCH(VLOOKUP(LEFT(MasterTable[Spørgsmål],LEN(MasterTable[[#This Row],[Spørgsmål]])-1)&amp;"h",'3 Spørgeramme'!A:N,13,FALSE),Table_Modenhedsskala[Modenhedsgrad],0))</f>
        <v>4</v>
      </c>
      <c r="M8" s="62" t="str">
        <f>S_InputArk!I11</f>
        <v>Løbende forbedringer</v>
      </c>
      <c r="N8" s="63">
        <f>IFERROR(INDEX(MasterTable[Ønsket niveau],MATCH(Table27[[#This Row],[Unik liste]],MasterTable[Spørgeområde],0)),"")</f>
        <v>4</v>
      </c>
      <c r="O8" s="62">
        <f>S_InputArk!L11</f>
        <v>4</v>
      </c>
    </row>
    <row r="9" spans="1:17" x14ac:dyDescent="0.25">
      <c r="A9" s="96" t="str">
        <f t="shared" si="5"/>
        <v/>
      </c>
      <c r="B9" s="96" t="str">
        <f t="shared" si="6"/>
        <v/>
      </c>
      <c r="C9" s="96" t="str">
        <f t="shared" si="7"/>
        <v/>
      </c>
      <c r="D9" s="96" t="str">
        <f t="shared" si="8"/>
        <v/>
      </c>
      <c r="E9" s="97" t="str">
        <f t="shared" si="9"/>
        <v/>
      </c>
      <c r="F9" s="148" t="str">
        <f>VLOOKUP(LEFT(MasterTable[[#All],[Spørgsmål]],LEN(MasterTable[[#This Row],[Spørgsmål]])-1),Table_Questions[#All],2,FALSE)</f>
        <v>Lederskab</v>
      </c>
      <c r="G9" s="50" t="str">
        <f>ROUNDUP(ROW(S_InputArk!$N8)/6,0)&amp;"."&amp;CHOOSE(IF(MOD(ROW(S_InputArk!$N8),6)=0,6,MOD(ROW(S_InputArk!$N8),6)),"a","b","c","d","e","f")</f>
        <v>2.b</v>
      </c>
      <c r="H9" s="148" t="str">
        <f>VLOOKUP(MasterTable[[#This Row],[Spørgsmål]],S_Lookupsheet!AT:AV,3,FALSE)</f>
        <v>Politik (5.2)</v>
      </c>
      <c r="I9" s="50" t="e">
        <f>INDEX(Table_Modenhedsskala[Nummer],MATCH(VLOOKUP(MasterTable[Spørgsmål],'3 Spørgeramme'!A:N,13,FALSE),Table_Modenhedsskala[Modenhedsgrad],0))</f>
        <v>#N/A</v>
      </c>
      <c r="J9" s="52">
        <f>VLOOKUP(LEFT(MasterTable[[#All],[Spørgsmål]],LEN(MasterTable[[#This Row],[Spørgsmål]])-1),Table_Questions[#All],5,FALSE)</f>
        <v>4</v>
      </c>
      <c r="K9" s="52" t="e">
        <f>INDEX(Table_Modenhedsskala[Nummer],MATCH(VLOOKUP(LEFT(MasterTable[Spørgsmål],LEN(MasterTable[[#This Row],[Spørgsmål]])-1)&amp;"g",'3 Spørgeramme'!A:N,13,FALSE),Table_Modenhedsskala[Modenhedsgrad],0))</f>
        <v>#N/A</v>
      </c>
      <c r="L9" s="241">
        <f>INDEX(Table_Modenhedsskala[Nummer],MATCH(VLOOKUP(LEFT(MasterTable[Spørgsmål],LEN(MasterTable[[#This Row],[Spørgsmål]])-1)&amp;"h",'3 Spørgeramme'!A:N,13,FALSE),Table_Modenhedsskala[Modenhedsgrad],0))</f>
        <v>4</v>
      </c>
      <c r="M9" s="62" t="str">
        <f>S_InputArk!I12</f>
        <v>Leverandørstyring</v>
      </c>
      <c r="N9" s="63">
        <f>IFERROR(INDEX(MasterTable[Ønsket niveau],MATCH(Table27[[#This Row],[Unik liste]],MasterTable[Spørgeområde],0)),"")</f>
        <v>4</v>
      </c>
      <c r="O9" s="62">
        <f>S_InputArk!L12</f>
        <v>4</v>
      </c>
    </row>
    <row r="10" spans="1:17" x14ac:dyDescent="0.25">
      <c r="A10" s="96" t="str">
        <f t="shared" si="5"/>
        <v/>
      </c>
      <c r="B10" s="96" t="str">
        <f t="shared" si="6"/>
        <v/>
      </c>
      <c r="C10" s="96" t="str">
        <f t="shared" si="7"/>
        <v/>
      </c>
      <c r="D10" s="96" t="str">
        <f t="shared" si="8"/>
        <v/>
      </c>
      <c r="E10" s="97" t="str">
        <f t="shared" si="9"/>
        <v/>
      </c>
      <c r="F10" s="148" t="str">
        <f>VLOOKUP(LEFT(MasterTable[[#All],[Spørgsmål]],LEN(MasterTable[[#This Row],[Spørgsmål]])-1),Table_Questions[#All],2,FALSE)</f>
        <v>Lederskab</v>
      </c>
      <c r="G10" s="50" t="str">
        <f>ROUNDUP(ROW(S_InputArk!$N9)/6,0)&amp;"."&amp;CHOOSE(IF(MOD(ROW(S_InputArk!$N9),6)=0,6,MOD(ROW(S_InputArk!$N9),6)),"a","b","c","d","e","f")</f>
        <v>2.c</v>
      </c>
      <c r="H10" s="148" t="str">
        <f>VLOOKUP(MasterTable[[#This Row],[Spørgsmål]],S_Lookupsheet!AT:AV,3,FALSE)</f>
        <v>Roller og ansvar (5.3)</v>
      </c>
      <c r="I10" s="50" t="e">
        <f>INDEX(Table_Modenhedsskala[Nummer],MATCH(VLOOKUP(MasterTable[Spørgsmål],'3 Spørgeramme'!A:N,13,FALSE),Table_Modenhedsskala[Modenhedsgrad],0))</f>
        <v>#N/A</v>
      </c>
      <c r="J10" s="52">
        <f>VLOOKUP(LEFT(MasterTable[[#All],[Spørgsmål]],LEN(MasterTable[[#This Row],[Spørgsmål]])-1),Table_Questions[#All],5,FALSE)</f>
        <v>4</v>
      </c>
      <c r="K10" s="52" t="e">
        <f>INDEX(Table_Modenhedsskala[Nummer],MATCH(VLOOKUP(LEFT(MasterTable[Spørgsmål],LEN(MasterTable[[#This Row],[Spørgsmål]])-1)&amp;"g",'3 Spørgeramme'!A:N,13,FALSE),Table_Modenhedsskala[Modenhedsgrad],0))</f>
        <v>#N/A</v>
      </c>
      <c r="L10" s="241">
        <f>INDEX(Table_Modenhedsskala[Nummer],MATCH(VLOOKUP(LEFT(MasterTable[Spørgsmål],LEN(MasterTable[[#This Row],[Spørgsmål]])-1)&amp;"h",'3 Spørgeramme'!A:N,13,FALSE),Table_Modenhedsskala[Modenhedsgrad],0))</f>
        <v>4</v>
      </c>
      <c r="M10" s="62" t="str">
        <f>S_InputArk!I13</f>
        <v>Beredskabsplaner</v>
      </c>
      <c r="N10" s="63">
        <f>IFERROR(INDEX(MasterTable[Ønsket niveau],MATCH(Table27[[#This Row],[Unik liste]],MasterTable[Spørgeområde],0)),"")</f>
        <v>4</v>
      </c>
      <c r="O10" s="62">
        <f>S_InputArk!L13</f>
        <v>4</v>
      </c>
    </row>
    <row r="11" spans="1:17" x14ac:dyDescent="0.25">
      <c r="A11" s="96" t="str">
        <f t="shared" si="5"/>
        <v/>
      </c>
      <c r="B11" s="96" t="str">
        <f t="shared" si="6"/>
        <v/>
      </c>
      <c r="C11" s="96" t="str">
        <f t="shared" si="7"/>
        <v/>
      </c>
      <c r="D11" s="96" t="str">
        <f t="shared" si="8"/>
        <v/>
      </c>
      <c r="E11" s="97" t="str">
        <f t="shared" si="9"/>
        <v/>
      </c>
      <c r="F11" s="148" t="str">
        <f>VLOOKUP(LEFT(MasterTable[[#All],[Spørgsmål]],LEN(MasterTable[[#This Row],[Spørgsmål]])-1),Table_Questions[#All],2,FALSE)</f>
        <v>Lederskab</v>
      </c>
      <c r="G11" s="50" t="str">
        <f>ROUNDUP(ROW(S_InputArk!$N10)/6,0)&amp;"."&amp;CHOOSE(IF(MOD(ROW(S_InputArk!$N10),6)=0,6,MOD(ROW(S_InputArk!$N10),6)),"a","b","c","d","e","f")</f>
        <v>2.d</v>
      </c>
      <c r="H11" s="148" t="str">
        <f>VLOOKUP(MasterTable[[#This Row],[Spørgsmål]],S_Lookupsheet!AT:AV,3,FALSE)</f>
        <v>N/A</v>
      </c>
      <c r="I11" s="50" t="e">
        <f>INDEX(Table_Modenhedsskala[Nummer],MATCH(VLOOKUP(MasterTable[Spørgsmål],'3 Spørgeramme'!A:N,13,FALSE),Table_Modenhedsskala[Modenhedsgrad],0))</f>
        <v>#N/A</v>
      </c>
      <c r="J11" s="52">
        <f>VLOOKUP(LEFT(MasterTable[[#All],[Spørgsmål]],LEN(MasterTable[[#This Row],[Spørgsmål]])-1),Table_Questions[#All],5,FALSE)</f>
        <v>4</v>
      </c>
      <c r="K11" s="52" t="e">
        <f>INDEX(Table_Modenhedsskala[Nummer],MATCH(VLOOKUP(LEFT(MasterTable[Spørgsmål],LEN(MasterTable[[#This Row],[Spørgsmål]])-1)&amp;"g",'3 Spørgeramme'!A:N,13,FALSE),Table_Modenhedsskala[Modenhedsgrad],0))</f>
        <v>#N/A</v>
      </c>
      <c r="L11" s="241">
        <f>INDEX(Table_Modenhedsskala[Nummer],MATCH(VLOOKUP(LEFT(MasterTable[Spørgsmål],LEN(MasterTable[[#This Row],[Spørgsmål]])-1)&amp;"h",'3 Spørgeramme'!A:N,13,FALSE),Table_Modenhedsskala[Modenhedsgrad],0))</f>
        <v>4</v>
      </c>
      <c r="M11" s="62" t="str">
        <f>S_InputArk!I14</f>
        <v>Ikke angivet</v>
      </c>
      <c r="N11" s="63" t="str">
        <f>IFERROR(INDEX(MasterTable[Ønsket niveau],MATCH(Table27[[#This Row],[Unik liste]],MasterTable[Spørgeområde],0)),"")</f>
        <v/>
      </c>
      <c r="O11" s="62">
        <f>S_InputArk!L14</f>
        <v>4</v>
      </c>
    </row>
    <row r="12" spans="1:17" x14ac:dyDescent="0.25">
      <c r="A12" s="96" t="str">
        <f t="shared" si="5"/>
        <v/>
      </c>
      <c r="B12" s="96" t="str">
        <f t="shared" si="6"/>
        <v/>
      </c>
      <c r="C12" s="96" t="str">
        <f t="shared" si="7"/>
        <v/>
      </c>
      <c r="D12" s="96" t="str">
        <f t="shared" si="8"/>
        <v/>
      </c>
      <c r="E12" s="97" t="str">
        <f t="shared" si="9"/>
        <v/>
      </c>
      <c r="F12" s="148" t="str">
        <f>VLOOKUP(LEFT(MasterTable[[#All],[Spørgsmål]],LEN(MasterTable[[#This Row],[Spørgsmål]])-1),Table_Questions[#All],2,FALSE)</f>
        <v>Lederskab</v>
      </c>
      <c r="G12" s="50" t="str">
        <f>ROUNDUP(ROW(S_InputArk!$N11)/6,0)&amp;"."&amp;CHOOSE(IF(MOD(ROW(S_InputArk!$N11),6)=0,6,MOD(ROW(S_InputArk!$N11),6)),"a","b","c","d","e","f")</f>
        <v>2.e</v>
      </c>
      <c r="H12" s="148" t="str">
        <f>VLOOKUP(MasterTable[[#This Row],[Spørgsmål]],S_Lookupsheet!AT:AV,3,FALSE)</f>
        <v>N/A</v>
      </c>
      <c r="I12" s="50" t="e">
        <f>INDEX(Table_Modenhedsskala[Nummer],MATCH(VLOOKUP(MasterTable[Spørgsmål],'3 Spørgeramme'!A:N,13,FALSE),Table_Modenhedsskala[Modenhedsgrad],0))</f>
        <v>#N/A</v>
      </c>
      <c r="J12" s="52">
        <f>VLOOKUP(LEFT(MasterTable[[#All],[Spørgsmål]],LEN(MasterTable[[#This Row],[Spørgsmål]])-1),Table_Questions[#All],5,FALSE)</f>
        <v>4</v>
      </c>
      <c r="K12" s="52" t="e">
        <f>INDEX(Table_Modenhedsskala[Nummer],MATCH(VLOOKUP(LEFT(MasterTable[Spørgsmål],LEN(MasterTable[[#This Row],[Spørgsmål]])-1)&amp;"g",'3 Spørgeramme'!A:N,13,FALSE),Table_Modenhedsskala[Modenhedsgrad],0))</f>
        <v>#N/A</v>
      </c>
      <c r="L12" s="241">
        <f>INDEX(Table_Modenhedsskala[Nummer],MATCH(VLOOKUP(LEFT(MasterTable[Spørgsmål],LEN(MasterTable[[#This Row],[Spørgsmål]])-1)&amp;"h",'3 Spørgeramme'!A:N,13,FALSE),Table_Modenhedsskala[Modenhedsgrad],0))</f>
        <v>4</v>
      </c>
      <c r="M12" s="62"/>
      <c r="N12" s="63" t="str">
        <f>IFERROR(INDEX(MasterTable[Ønsket niveau],MATCH(Table27[[#This Row],[Unik liste]],MasterTable[Spørgeområde],0)),"")</f>
        <v/>
      </c>
      <c r="O12" s="62"/>
    </row>
    <row r="13" spans="1:17" x14ac:dyDescent="0.25">
      <c r="A13" s="96" t="str">
        <f t="shared" si="5"/>
        <v/>
      </c>
      <c r="B13" s="96" t="str">
        <f t="shared" si="6"/>
        <v/>
      </c>
      <c r="C13" s="96" t="str">
        <f t="shared" si="7"/>
        <v/>
      </c>
      <c r="D13" s="96" t="str">
        <f t="shared" si="8"/>
        <v/>
      </c>
      <c r="E13" s="97" t="str">
        <f t="shared" si="9"/>
        <v/>
      </c>
      <c r="F13" s="148" t="str">
        <f>VLOOKUP(LEFT(MasterTable[[#All],[Spørgsmål]],LEN(MasterTable[[#This Row],[Spørgsmål]])-1),Table_Questions[#All],2,FALSE)</f>
        <v>Lederskab</v>
      </c>
      <c r="G13" s="50" t="str">
        <f>ROUNDUP(ROW(S_InputArk!$N12)/6,0)&amp;"."&amp;CHOOSE(IF(MOD(ROW(S_InputArk!$N12),6)=0,6,MOD(ROW(S_InputArk!$N12),6)),"a","b","c","d","e","f")</f>
        <v>2.f</v>
      </c>
      <c r="H13" s="148" t="str">
        <f>VLOOKUP(MasterTable[[#This Row],[Spørgsmål]],S_Lookupsheet!AT:AV,3,FALSE)</f>
        <v>N/A</v>
      </c>
      <c r="I13" s="50" t="e">
        <f>INDEX(Table_Modenhedsskala[Nummer],MATCH(VLOOKUP(MasterTable[Spørgsmål],'3 Spørgeramme'!A:N,13,FALSE),Table_Modenhedsskala[Modenhedsgrad],0))</f>
        <v>#N/A</v>
      </c>
      <c r="J13" s="52">
        <f>VLOOKUP(LEFT(MasterTable[[#All],[Spørgsmål]],LEN(MasterTable[[#This Row],[Spørgsmål]])-1),Table_Questions[#All],5,FALSE)</f>
        <v>4</v>
      </c>
      <c r="K13" s="52" t="e">
        <f>INDEX(Table_Modenhedsskala[Nummer],MATCH(VLOOKUP(LEFT(MasterTable[Spørgsmål],LEN(MasterTable[[#This Row],[Spørgsmål]])-1)&amp;"g",'3 Spørgeramme'!A:N,13,FALSE),Table_Modenhedsskala[Modenhedsgrad],0))</f>
        <v>#N/A</v>
      </c>
      <c r="L13" s="241">
        <f>INDEX(Table_Modenhedsskala[Nummer],MATCH(VLOOKUP(LEFT(MasterTable[Spørgsmål],LEN(MasterTable[[#This Row],[Spørgsmål]])-1)&amp;"h",'3 Spørgeramme'!A:N,13,FALSE),Table_Modenhedsskala[Modenhedsgrad],0))</f>
        <v>4</v>
      </c>
      <c r="M13" s="62"/>
      <c r="N13" s="63" t="str">
        <f>IFERROR(INDEX(MasterTable[Ønsket niveau],MATCH(Table27[[#This Row],[Unik liste]],MasterTable[Spørgeområde],0)),"")</f>
        <v/>
      </c>
      <c r="O13" s="62"/>
    </row>
    <row r="14" spans="1:17" x14ac:dyDescent="0.25">
      <c r="A14" s="52" t="str">
        <f t="shared" si="5"/>
        <v/>
      </c>
      <c r="B14" s="52" t="str">
        <f t="shared" si="6"/>
        <v/>
      </c>
      <c r="C14" s="52" t="str">
        <f t="shared" si="7"/>
        <v/>
      </c>
      <c r="D14" s="52" t="str">
        <f t="shared" si="8"/>
        <v/>
      </c>
      <c r="E14" s="51" t="str">
        <f t="shared" si="9"/>
        <v/>
      </c>
      <c r="F14" s="148" t="str">
        <f>VLOOKUP(LEFT(MasterTable[[#All],[Spørgsmål]],LEN(MasterTable[[#This Row],[Spørgsmål]])-1),Table_Questions[#All],2,FALSE)</f>
        <v>Planlægning</v>
      </c>
      <c r="G14" s="50" t="str">
        <f>ROUNDUP(ROW(S_InputArk!$N13)/6,0)&amp;"."&amp;CHOOSE(IF(MOD(ROW(S_InputArk!$N13),6)=0,6,MOD(ROW(S_InputArk!$N13),6)),"a","b","c","d","e","f")</f>
        <v>3.a</v>
      </c>
      <c r="H14" s="52" t="str">
        <f>VLOOKUP(MasterTable[[#This Row],[Spørgsmål]],S_Lookupsheet!AT:AV,3,FALSE)</f>
        <v>Handlinger - (6.1.1)</v>
      </c>
      <c r="I14" s="50" t="e">
        <f>INDEX(Table_Modenhedsskala[Nummer],MATCH(VLOOKUP(MasterTable[Spørgsmål],'3 Spørgeramme'!A:N,13,FALSE),Table_Modenhedsskala[Modenhedsgrad],0))</f>
        <v>#N/A</v>
      </c>
      <c r="J14" s="52">
        <f>VLOOKUP(LEFT(MasterTable[[#All],[Spørgsmål]],LEN(MasterTable[[#This Row],[Spørgsmål]])-1),Table_Questions[#All],5,FALSE)</f>
        <v>4</v>
      </c>
      <c r="K14" s="52" t="e">
        <f>INDEX(Table_Modenhedsskala[Nummer],MATCH(VLOOKUP(LEFT(MasterTable[Spørgsmål],LEN(MasterTable[[#This Row],[Spørgsmål]])-1)&amp;"g",'3 Spørgeramme'!A:N,13,FALSE),Table_Modenhedsskala[Modenhedsgrad],0))</f>
        <v>#N/A</v>
      </c>
      <c r="L14" s="241">
        <f>INDEX(Table_Modenhedsskala[Nummer],MATCH(VLOOKUP(LEFT(MasterTable[Spørgsmål],LEN(MasterTable[[#This Row],[Spørgsmål]])-1)&amp;"h",'3 Spørgeramme'!A:N,13,FALSE),Table_Modenhedsskala[Modenhedsgrad],0))</f>
        <v>4</v>
      </c>
      <c r="M14" s="62"/>
      <c r="N14" s="63" t="str">
        <f>IFERROR(INDEX(MasterTable[Ønsket niveau],MATCH(Table27[[#This Row],[Unik liste]],MasterTable[Spørgeområde],0)),"")</f>
        <v/>
      </c>
      <c r="O14" s="62"/>
    </row>
    <row r="15" spans="1:17" x14ac:dyDescent="0.25">
      <c r="A15" s="96" t="str">
        <f t="shared" si="5"/>
        <v/>
      </c>
      <c r="B15" s="96" t="str">
        <f t="shared" si="6"/>
        <v/>
      </c>
      <c r="C15" s="96" t="str">
        <f t="shared" si="7"/>
        <v/>
      </c>
      <c r="D15" s="96" t="str">
        <f t="shared" si="8"/>
        <v/>
      </c>
      <c r="E15" s="97" t="str">
        <f t="shared" si="9"/>
        <v/>
      </c>
      <c r="F15" s="148" t="str">
        <f>VLOOKUP(LEFT(MasterTable[[#All],[Spørgsmål]],LEN(MasterTable[[#This Row],[Spørgsmål]])-1),Table_Questions[#All],2,FALSE)</f>
        <v>Planlægning</v>
      </c>
      <c r="G15" s="50" t="str">
        <f>ROUNDUP(ROW(S_InputArk!$N14)/6,0)&amp;"."&amp;CHOOSE(IF(MOD(ROW(S_InputArk!$N14),6)=0,6,MOD(ROW(S_InputArk!$N14),6)),"a","b","c","d","e","f")</f>
        <v>3.b</v>
      </c>
      <c r="H15" s="96" t="str">
        <f>VLOOKUP(MasterTable[[#This Row],[Spørgsmål]],S_Lookupsheet!AT:AV,3,FALSE)</f>
        <v>Handlinger (6.1.2)</v>
      </c>
      <c r="I15" s="50" t="e">
        <f>INDEX(Table_Modenhedsskala[Nummer],MATCH(VLOOKUP(MasterTable[Spørgsmål],'3 Spørgeramme'!A:N,13,FALSE),Table_Modenhedsskala[Modenhedsgrad],0))</f>
        <v>#N/A</v>
      </c>
      <c r="J15" s="52">
        <f>VLOOKUP(LEFT(MasterTable[[#All],[Spørgsmål]],LEN(MasterTable[[#This Row],[Spørgsmål]])-1),Table_Questions[#All],5,FALSE)</f>
        <v>4</v>
      </c>
      <c r="K15" s="52" t="e">
        <f>INDEX(Table_Modenhedsskala[Nummer],MATCH(VLOOKUP(LEFT(MasterTable[Spørgsmål],LEN(MasterTable[[#This Row],[Spørgsmål]])-1)&amp;"g",'3 Spørgeramme'!A:N,13,FALSE),Table_Modenhedsskala[Modenhedsgrad],0))</f>
        <v>#N/A</v>
      </c>
      <c r="L15" s="241">
        <f>INDEX(Table_Modenhedsskala[Nummer],MATCH(VLOOKUP(LEFT(MasterTable[Spørgsmål],LEN(MasterTable[[#This Row],[Spørgsmål]])-1)&amp;"h",'3 Spørgeramme'!A:N,13,FALSE),Table_Modenhedsskala[Modenhedsgrad],0))</f>
        <v>4</v>
      </c>
      <c r="M15" s="62"/>
      <c r="N15" s="63" t="str">
        <f>IFERROR(INDEX(MasterTable[Ønsket niveau],MATCH(Table27[[#This Row],[Unik liste]],MasterTable[Spørgeområde],0)),"")</f>
        <v/>
      </c>
      <c r="O15" s="62"/>
    </row>
    <row r="16" spans="1:17" x14ac:dyDescent="0.25">
      <c r="A16" s="96" t="str">
        <f t="shared" si="5"/>
        <v/>
      </c>
      <c r="B16" s="96" t="str">
        <f t="shared" si="6"/>
        <v/>
      </c>
      <c r="C16" s="96" t="str">
        <f t="shared" si="7"/>
        <v/>
      </c>
      <c r="D16" s="96" t="str">
        <f t="shared" si="8"/>
        <v/>
      </c>
      <c r="E16" s="97" t="str">
        <f t="shared" si="9"/>
        <v/>
      </c>
      <c r="F16" s="148" t="str">
        <f>VLOOKUP(LEFT(MasterTable[[#All],[Spørgsmål]],LEN(MasterTable[[#This Row],[Spørgsmål]])-1),Table_Questions[#All],2,FALSE)</f>
        <v>Planlægning</v>
      </c>
      <c r="G16" s="50" t="str">
        <f>ROUNDUP(ROW(S_InputArk!$N15)/6,0)&amp;"."&amp;CHOOSE(IF(MOD(ROW(S_InputArk!$N15),6)=0,6,MOD(ROW(S_InputArk!$N15),6)),"a","b","c","d","e","f")</f>
        <v>3.c</v>
      </c>
      <c r="H16" s="96" t="str">
        <f>VLOOKUP(MasterTable[[#This Row],[Spørgsmål]],S_Lookupsheet!AT:AV,3,FALSE)</f>
        <v>Handlinger (6.1.3)</v>
      </c>
      <c r="I16" s="50" t="e">
        <f>INDEX(Table_Modenhedsskala[Nummer],MATCH(VLOOKUP(MasterTable[Spørgsmål],'3 Spørgeramme'!A:N,13,FALSE),Table_Modenhedsskala[Modenhedsgrad],0))</f>
        <v>#N/A</v>
      </c>
      <c r="J16" s="52">
        <f>VLOOKUP(LEFT(MasterTable[[#All],[Spørgsmål]],LEN(MasterTable[[#This Row],[Spørgsmål]])-1),Table_Questions[#All],5,FALSE)</f>
        <v>4</v>
      </c>
      <c r="K16" s="52" t="e">
        <f>INDEX(Table_Modenhedsskala[Nummer],MATCH(VLOOKUP(LEFT(MasterTable[Spørgsmål],LEN(MasterTable[[#This Row],[Spørgsmål]])-1)&amp;"g",'3 Spørgeramme'!A:N,13,FALSE),Table_Modenhedsskala[Modenhedsgrad],0))</f>
        <v>#N/A</v>
      </c>
      <c r="L16" s="241">
        <f>INDEX(Table_Modenhedsskala[Nummer],MATCH(VLOOKUP(LEFT(MasterTable[Spørgsmål],LEN(MasterTable[[#This Row],[Spørgsmål]])-1)&amp;"h",'3 Spørgeramme'!A:N,13,FALSE),Table_Modenhedsskala[Modenhedsgrad],0))</f>
        <v>4</v>
      </c>
      <c r="M16" s="62"/>
      <c r="N16" s="63" t="str">
        <f>IFERROR(INDEX(MasterTable[Ønsket niveau],MATCH(Table27[[#This Row],[Unik liste]],MasterTable[Spørgeområde],0)),"")</f>
        <v/>
      </c>
      <c r="O16" s="62"/>
    </row>
    <row r="17" spans="1:12" x14ac:dyDescent="0.25">
      <c r="A17" s="96" t="str">
        <f t="shared" si="5"/>
        <v/>
      </c>
      <c r="B17" s="96" t="str">
        <f t="shared" si="6"/>
        <v/>
      </c>
      <c r="C17" s="96" t="str">
        <f t="shared" si="7"/>
        <v/>
      </c>
      <c r="D17" s="96" t="str">
        <f t="shared" si="8"/>
        <v/>
      </c>
      <c r="E17" s="97" t="str">
        <f t="shared" si="9"/>
        <v/>
      </c>
      <c r="F17" s="148" t="str">
        <f>VLOOKUP(LEFT(MasterTable[[#All],[Spørgsmål]],LEN(MasterTable[[#This Row],[Spørgsmål]])-1),Table_Questions[#All],2,FALSE)</f>
        <v>Planlægning</v>
      </c>
      <c r="G17" s="50" t="str">
        <f>ROUNDUP(ROW(S_InputArk!$N16)/6,0)&amp;"."&amp;CHOOSE(IF(MOD(ROW(S_InputArk!$N16),6)=0,6,MOD(ROW(S_InputArk!$N16),6)),"a","b","c","d","e","f")</f>
        <v>3.d</v>
      </c>
      <c r="H17" s="96" t="str">
        <f>VLOOKUP(MasterTable[[#This Row],[Spørgsmål]],S_Lookupsheet!AT:AV,3,FALSE)</f>
        <v>Handlinger (6.1.4)</v>
      </c>
      <c r="I17" s="50" t="e">
        <f>INDEX(Table_Modenhedsskala[Nummer],MATCH(VLOOKUP(MasterTable[Spørgsmål],'3 Spørgeramme'!A:N,13,FALSE),Table_Modenhedsskala[Modenhedsgrad],0))</f>
        <v>#N/A</v>
      </c>
      <c r="J17" s="52">
        <f>VLOOKUP(LEFT(MasterTable[[#All],[Spørgsmål]],LEN(MasterTable[[#This Row],[Spørgsmål]])-1),Table_Questions[#All],5,FALSE)</f>
        <v>4</v>
      </c>
      <c r="K17" s="52" t="e">
        <f>INDEX(Table_Modenhedsskala[Nummer],MATCH(VLOOKUP(LEFT(MasterTable[Spørgsmål],LEN(MasterTable[[#This Row],[Spørgsmål]])-1)&amp;"g",'3 Spørgeramme'!A:N,13,FALSE),Table_Modenhedsskala[Modenhedsgrad],0))</f>
        <v>#N/A</v>
      </c>
      <c r="L17" s="241">
        <f>INDEX(Table_Modenhedsskala[Nummer],MATCH(VLOOKUP(LEFT(MasterTable[Spørgsmål],LEN(MasterTable[[#This Row],[Spørgsmål]])-1)&amp;"h",'3 Spørgeramme'!A:N,13,FALSE),Table_Modenhedsskala[Modenhedsgrad],0))</f>
        <v>4</v>
      </c>
    </row>
    <row r="18" spans="1:12" x14ac:dyDescent="0.25">
      <c r="A18" s="96" t="str">
        <f t="shared" si="5"/>
        <v/>
      </c>
      <c r="B18" s="96" t="str">
        <f t="shared" si="6"/>
        <v/>
      </c>
      <c r="C18" s="96" t="str">
        <f t="shared" si="7"/>
        <v/>
      </c>
      <c r="D18" s="96" t="str">
        <f t="shared" si="8"/>
        <v/>
      </c>
      <c r="E18" s="97" t="str">
        <f t="shared" si="9"/>
        <v/>
      </c>
      <c r="F18" s="148" t="str">
        <f>VLOOKUP(LEFT(MasterTable[[#All],[Spørgsmål]],LEN(MasterTable[[#This Row],[Spørgsmål]])-1),Table_Questions[#All],2,FALSE)</f>
        <v>Planlægning</v>
      </c>
      <c r="G18" s="50" t="str">
        <f>ROUNDUP(ROW(S_InputArk!$N17)/6,0)&amp;"."&amp;CHOOSE(IF(MOD(ROW(S_InputArk!$N17),6)=0,6,MOD(ROW(S_InputArk!$N17),6)),"a","b","c","d","e","f")</f>
        <v>3.e</v>
      </c>
      <c r="H18" s="96" t="str">
        <f>VLOOKUP(MasterTable[[#This Row],[Spørgsmål]],S_Lookupsheet!AT:AV,3,FALSE)</f>
        <v>Målsætninger (6.2)</v>
      </c>
      <c r="I18" s="50" t="e">
        <f>INDEX(Table_Modenhedsskala[Nummer],MATCH(VLOOKUP(MasterTable[Spørgsmål],'3 Spørgeramme'!A:N,13,FALSE),Table_Modenhedsskala[Modenhedsgrad],0))</f>
        <v>#N/A</v>
      </c>
      <c r="J18" s="52">
        <f>VLOOKUP(LEFT(MasterTable[[#All],[Spørgsmål]],LEN(MasterTable[[#This Row],[Spørgsmål]])-1),Table_Questions[#All],5,FALSE)</f>
        <v>4</v>
      </c>
      <c r="K18" s="52" t="e">
        <f>INDEX(Table_Modenhedsskala[Nummer],MATCH(VLOOKUP(LEFT(MasterTable[Spørgsmål],LEN(MasterTable[[#This Row],[Spørgsmål]])-1)&amp;"g",'3 Spørgeramme'!A:N,13,FALSE),Table_Modenhedsskala[Modenhedsgrad],0))</f>
        <v>#N/A</v>
      </c>
      <c r="L18" s="241">
        <f>INDEX(Table_Modenhedsskala[Nummer],MATCH(VLOOKUP(LEFT(MasterTable[Spørgsmål],LEN(MasterTable[[#This Row],[Spørgsmål]])-1)&amp;"h",'3 Spørgeramme'!A:N,13,FALSE),Table_Modenhedsskala[Modenhedsgrad],0))</f>
        <v>4</v>
      </c>
    </row>
    <row r="19" spans="1:12" x14ac:dyDescent="0.25">
      <c r="A19" s="96" t="str">
        <f t="shared" si="5"/>
        <v/>
      </c>
      <c r="B19" s="96" t="str">
        <f t="shared" si="6"/>
        <v/>
      </c>
      <c r="C19" s="96" t="str">
        <f t="shared" si="7"/>
        <v/>
      </c>
      <c r="D19" s="96" t="str">
        <f t="shared" si="8"/>
        <v/>
      </c>
      <c r="E19" s="97" t="str">
        <f t="shared" si="9"/>
        <v/>
      </c>
      <c r="F19" s="148" t="str">
        <f>VLOOKUP(LEFT(MasterTable[[#All],[Spørgsmål]],LEN(MasterTable[[#This Row],[Spørgsmål]])-1),Table_Questions[#All],2,FALSE)</f>
        <v>Planlægning</v>
      </c>
      <c r="G19" s="50" t="str">
        <f>ROUNDUP(ROW(S_InputArk!$N18)/6,0)&amp;"."&amp;CHOOSE(IF(MOD(ROW(S_InputArk!$N18),6)=0,6,MOD(ROW(S_InputArk!$N18),6)),"a","b","c","d","e","f")</f>
        <v>3.f</v>
      </c>
      <c r="H19" s="96" t="str">
        <f>VLOOKUP(MasterTable[[#This Row],[Spørgsmål]],S_Lookupsheet!AT:AV,3,FALSE)</f>
        <v>Målsætninger (6.2.2)</v>
      </c>
      <c r="I19" s="50" t="e">
        <f>INDEX(Table_Modenhedsskala[Nummer],MATCH(VLOOKUP(MasterTable[Spørgsmål],'3 Spørgeramme'!A:N,13,FALSE),Table_Modenhedsskala[Modenhedsgrad],0))</f>
        <v>#N/A</v>
      </c>
      <c r="J19" s="52">
        <f>VLOOKUP(LEFT(MasterTable[[#All],[Spørgsmål]],LEN(MasterTable[[#This Row],[Spørgsmål]])-1),Table_Questions[#All],5,FALSE)</f>
        <v>4</v>
      </c>
      <c r="K19" s="52" t="e">
        <f>INDEX(Table_Modenhedsskala[Nummer],MATCH(VLOOKUP(LEFT(MasterTable[Spørgsmål],LEN(MasterTable[[#This Row],[Spørgsmål]])-1)&amp;"g",'3 Spørgeramme'!A:N,13,FALSE),Table_Modenhedsskala[Modenhedsgrad],0))</f>
        <v>#N/A</v>
      </c>
      <c r="L19" s="241">
        <f>INDEX(Table_Modenhedsskala[Nummer],MATCH(VLOOKUP(LEFT(MasterTable[Spørgsmål],LEN(MasterTable[[#This Row],[Spørgsmål]])-1)&amp;"h",'3 Spørgeramme'!A:N,13,FALSE),Table_Modenhedsskala[Modenhedsgrad],0))</f>
        <v>4</v>
      </c>
    </row>
    <row r="20" spans="1:12" x14ac:dyDescent="0.25">
      <c r="A20" s="52" t="str">
        <f t="shared" si="5"/>
        <v/>
      </c>
      <c r="B20" s="52" t="str">
        <f t="shared" si="6"/>
        <v/>
      </c>
      <c r="C20" s="52" t="str">
        <f t="shared" si="7"/>
        <v/>
      </c>
      <c r="D20" s="52" t="str">
        <f t="shared" si="8"/>
        <v/>
      </c>
      <c r="E20" s="51" t="str">
        <f t="shared" si="9"/>
        <v/>
      </c>
      <c r="F20" s="148" t="str">
        <f>VLOOKUP(LEFT(MasterTable[[#All],[Spørgsmål]],LEN(MasterTable[[#This Row],[Spørgsmål]])-1),Table_Questions[#All],2,FALSE)</f>
        <v>Support</v>
      </c>
      <c r="G20" s="50" t="str">
        <f>ROUNDUP(ROW(S_InputArk!$N19)/6,0)&amp;"."&amp;CHOOSE(IF(MOD(ROW(S_InputArk!$N19),6)=0,6,MOD(ROW(S_InputArk!$N19),6)),"a","b","c","d","e","f")</f>
        <v>4.a</v>
      </c>
      <c r="H20" s="52" t="str">
        <f>VLOOKUP(MasterTable[[#This Row],[Spørgsmål]],S_Lookupsheet!AT:AV,3,FALSE)</f>
        <v>Ressourcer (7.1)</v>
      </c>
      <c r="I20" s="50" t="e">
        <f>INDEX(Table_Modenhedsskala[Nummer],MATCH(VLOOKUP(MasterTable[Spørgsmål],'3 Spørgeramme'!A:N,13,FALSE),Table_Modenhedsskala[Modenhedsgrad],0))</f>
        <v>#N/A</v>
      </c>
      <c r="J20" s="52">
        <f>VLOOKUP(LEFT(MasterTable[[#All],[Spørgsmål]],LEN(MasterTable[[#This Row],[Spørgsmål]])-1),Table_Questions[#All],5,FALSE)</f>
        <v>4</v>
      </c>
      <c r="K20" s="52" t="e">
        <f>INDEX(Table_Modenhedsskala[Nummer],MATCH(VLOOKUP(LEFT(MasterTable[Spørgsmål],LEN(MasterTable[[#This Row],[Spørgsmål]])-1)&amp;"g",'3 Spørgeramme'!A:N,13,FALSE),Table_Modenhedsskala[Modenhedsgrad],0))</f>
        <v>#N/A</v>
      </c>
      <c r="L20" s="241">
        <f>INDEX(Table_Modenhedsskala[Nummer],MATCH(VLOOKUP(LEFT(MasterTable[Spørgsmål],LEN(MasterTable[[#This Row],[Spørgsmål]])-1)&amp;"h",'3 Spørgeramme'!A:N,13,FALSE),Table_Modenhedsskala[Modenhedsgrad],0))</f>
        <v>4</v>
      </c>
    </row>
    <row r="21" spans="1:12" x14ac:dyDescent="0.25">
      <c r="A21" s="96" t="str">
        <f t="shared" si="5"/>
        <v/>
      </c>
      <c r="B21" s="96" t="str">
        <f t="shared" si="6"/>
        <v/>
      </c>
      <c r="C21" s="96" t="str">
        <f t="shared" si="7"/>
        <v/>
      </c>
      <c r="D21" s="96" t="str">
        <f t="shared" si="8"/>
        <v/>
      </c>
      <c r="E21" s="97" t="str">
        <f t="shared" si="9"/>
        <v/>
      </c>
      <c r="F21" s="148" t="str">
        <f>VLOOKUP(LEFT(MasterTable[[#All],[Spørgsmål]],LEN(MasterTable[[#This Row],[Spørgsmål]])-1),Table_Questions[#All],2,FALSE)</f>
        <v>Support</v>
      </c>
      <c r="G21" s="50" t="str">
        <f>ROUNDUP(ROW(S_InputArk!$N20)/6,0)&amp;"."&amp;CHOOSE(IF(MOD(ROW(S_InputArk!$N20),6)=0,6,MOD(ROW(S_InputArk!$N20),6)),"a","b","c","d","e","f")</f>
        <v>4.b</v>
      </c>
      <c r="H21" s="96" t="str">
        <f>VLOOKUP(MasterTable[[#This Row],[Spørgsmål]],S_Lookupsheet!AT:AV,3,FALSE)</f>
        <v>Kompetencer (7.2)</v>
      </c>
      <c r="I21" s="50" t="e">
        <f>INDEX(Table_Modenhedsskala[Nummer],MATCH(VLOOKUP(MasterTable[Spørgsmål],'3 Spørgeramme'!A:N,13,FALSE),Table_Modenhedsskala[Modenhedsgrad],0))</f>
        <v>#N/A</v>
      </c>
      <c r="J21" s="52">
        <f>VLOOKUP(LEFT(MasterTable[[#All],[Spørgsmål]],LEN(MasterTable[[#This Row],[Spørgsmål]])-1),Table_Questions[#All],5,FALSE)</f>
        <v>4</v>
      </c>
      <c r="K21" s="52" t="e">
        <f>INDEX(Table_Modenhedsskala[Nummer],MATCH(VLOOKUP(LEFT(MasterTable[Spørgsmål],LEN(MasterTable[[#This Row],[Spørgsmål]])-1)&amp;"g",'3 Spørgeramme'!A:N,13,FALSE),Table_Modenhedsskala[Modenhedsgrad],0))</f>
        <v>#N/A</v>
      </c>
      <c r="L21" s="241">
        <f>INDEX(Table_Modenhedsskala[Nummer],MATCH(VLOOKUP(LEFT(MasterTable[Spørgsmål],LEN(MasterTable[[#This Row],[Spørgsmål]])-1)&amp;"h",'3 Spørgeramme'!A:N,13,FALSE),Table_Modenhedsskala[Modenhedsgrad],0))</f>
        <v>4</v>
      </c>
    </row>
    <row r="22" spans="1:12" x14ac:dyDescent="0.25">
      <c r="A22" s="96" t="str">
        <f t="shared" si="5"/>
        <v/>
      </c>
      <c r="B22" s="96" t="str">
        <f t="shared" si="6"/>
        <v/>
      </c>
      <c r="C22" s="96" t="str">
        <f t="shared" si="7"/>
        <v/>
      </c>
      <c r="D22" s="96" t="str">
        <f t="shared" si="8"/>
        <v/>
      </c>
      <c r="E22" s="97" t="str">
        <f t="shared" si="9"/>
        <v/>
      </c>
      <c r="F22" s="148" t="str">
        <f>VLOOKUP(LEFT(MasterTable[[#All],[Spørgsmål]],LEN(MasterTable[[#This Row],[Spørgsmål]])-1),Table_Questions[#All],2,FALSE)</f>
        <v>Support</v>
      </c>
      <c r="G22" s="50" t="str">
        <f>ROUNDUP(ROW(S_InputArk!$N21)/6,0)&amp;"."&amp;CHOOSE(IF(MOD(ROW(S_InputArk!$N21),6)=0,6,MOD(ROW(S_InputArk!$N21),6)),"a","b","c","d","e","f")</f>
        <v>4.c</v>
      </c>
      <c r="H22" s="96" t="str">
        <f>VLOOKUP(MasterTable[[#This Row],[Spørgsmål]],S_Lookupsheet!AT:AV,3,FALSE)</f>
        <v>Bevidsthed (7.3)</v>
      </c>
      <c r="I22" s="50" t="e">
        <f>INDEX(Table_Modenhedsskala[Nummer],MATCH(VLOOKUP(MasterTable[Spørgsmål],'3 Spørgeramme'!A:N,13,FALSE),Table_Modenhedsskala[Modenhedsgrad],0))</f>
        <v>#N/A</v>
      </c>
      <c r="J22" s="52">
        <f>VLOOKUP(LEFT(MasterTable[[#All],[Spørgsmål]],LEN(MasterTable[[#This Row],[Spørgsmål]])-1),Table_Questions[#All],5,FALSE)</f>
        <v>4</v>
      </c>
      <c r="K22" s="52" t="e">
        <f>INDEX(Table_Modenhedsskala[Nummer],MATCH(VLOOKUP(LEFT(MasterTable[Spørgsmål],LEN(MasterTable[[#This Row],[Spørgsmål]])-1)&amp;"g",'3 Spørgeramme'!A:N,13,FALSE),Table_Modenhedsskala[Modenhedsgrad],0))</f>
        <v>#N/A</v>
      </c>
      <c r="L22" s="241">
        <f>INDEX(Table_Modenhedsskala[Nummer],MATCH(VLOOKUP(LEFT(MasterTable[Spørgsmål],LEN(MasterTable[[#This Row],[Spørgsmål]])-1)&amp;"h",'3 Spørgeramme'!A:N,13,FALSE),Table_Modenhedsskala[Modenhedsgrad],0))</f>
        <v>4</v>
      </c>
    </row>
    <row r="23" spans="1:12" x14ac:dyDescent="0.25">
      <c r="A23" s="96" t="str">
        <f t="shared" si="5"/>
        <v/>
      </c>
      <c r="B23" s="96" t="str">
        <f t="shared" si="6"/>
        <v/>
      </c>
      <c r="C23" s="96" t="str">
        <f t="shared" si="7"/>
        <v/>
      </c>
      <c r="D23" s="96" t="str">
        <f t="shared" si="8"/>
        <v/>
      </c>
      <c r="E23" s="97" t="str">
        <f t="shared" si="9"/>
        <v/>
      </c>
      <c r="F23" s="148" t="str">
        <f>VLOOKUP(LEFT(MasterTable[[#All],[Spørgsmål]],LEN(MasterTable[[#This Row],[Spørgsmål]])-1),Table_Questions[#All],2,FALSE)</f>
        <v>Support</v>
      </c>
      <c r="G23" s="50" t="str">
        <f>ROUNDUP(ROW(S_InputArk!$N22)/6,0)&amp;"."&amp;CHOOSE(IF(MOD(ROW(S_InputArk!$N22),6)=0,6,MOD(ROW(S_InputArk!$N22),6)),"a","b","c","d","e","f")</f>
        <v>4.d</v>
      </c>
      <c r="H23" s="96" t="str">
        <f>VLOOKUP(MasterTable[[#This Row],[Spørgsmål]],S_Lookupsheet!AT:AV,3,FALSE)</f>
        <v>Kommunikation (7.4)</v>
      </c>
      <c r="I23" s="50" t="e">
        <f>INDEX(Table_Modenhedsskala[Nummer],MATCH(VLOOKUP(MasterTable[Spørgsmål],'3 Spørgeramme'!A:N,13,FALSE),Table_Modenhedsskala[Modenhedsgrad],0))</f>
        <v>#N/A</v>
      </c>
      <c r="J23" s="52">
        <f>VLOOKUP(LEFT(MasterTable[[#All],[Spørgsmål]],LEN(MasterTable[[#This Row],[Spørgsmål]])-1),Table_Questions[#All],5,FALSE)</f>
        <v>4</v>
      </c>
      <c r="K23" s="52" t="e">
        <f>INDEX(Table_Modenhedsskala[Nummer],MATCH(VLOOKUP(LEFT(MasterTable[Spørgsmål],LEN(MasterTable[[#This Row],[Spørgsmål]])-1)&amp;"g",'3 Spørgeramme'!A:N,13,FALSE),Table_Modenhedsskala[Modenhedsgrad],0))</f>
        <v>#N/A</v>
      </c>
      <c r="L23" s="241">
        <f>INDEX(Table_Modenhedsskala[Nummer],MATCH(VLOOKUP(LEFT(MasterTable[Spørgsmål],LEN(MasterTable[[#This Row],[Spørgsmål]])-1)&amp;"h",'3 Spørgeramme'!A:N,13,FALSE),Table_Modenhedsskala[Modenhedsgrad],0))</f>
        <v>4</v>
      </c>
    </row>
    <row r="24" spans="1:12" x14ac:dyDescent="0.25">
      <c r="A24" s="96" t="str">
        <f t="shared" si="5"/>
        <v/>
      </c>
      <c r="B24" s="96" t="str">
        <f t="shared" si="6"/>
        <v/>
      </c>
      <c r="C24" s="96" t="str">
        <f t="shared" si="7"/>
        <v/>
      </c>
      <c r="D24" s="96" t="str">
        <f t="shared" si="8"/>
        <v/>
      </c>
      <c r="E24" s="97" t="str">
        <f t="shared" si="9"/>
        <v/>
      </c>
      <c r="F24" s="148" t="str">
        <f>VLOOKUP(LEFT(MasterTable[[#All],[Spørgsmål]],LEN(MasterTable[[#This Row],[Spørgsmål]])-1),Table_Questions[#All],2,FALSE)</f>
        <v>Support</v>
      </c>
      <c r="G24" s="50" t="str">
        <f>ROUNDUP(ROW(S_InputArk!$N23)/6,0)&amp;"."&amp;CHOOSE(IF(MOD(ROW(S_InputArk!$N23),6)=0,6,MOD(ROW(S_InputArk!$N23),6)),"a","b","c","d","e","f")</f>
        <v>4.e</v>
      </c>
      <c r="H24" s="96" t="str">
        <f>VLOOKUP(MasterTable[[#This Row],[Spørgsmål]],S_Lookupsheet!AT:AV,3,FALSE)</f>
        <v>Dokumentation (7.5)</v>
      </c>
      <c r="I24" s="50" t="e">
        <f>INDEX(Table_Modenhedsskala[Nummer],MATCH(VLOOKUP(MasterTable[Spørgsmål],'3 Spørgeramme'!A:N,13,FALSE),Table_Modenhedsskala[Modenhedsgrad],0))</f>
        <v>#N/A</v>
      </c>
      <c r="J24" s="52">
        <f>VLOOKUP(LEFT(MasterTable[[#All],[Spørgsmål]],LEN(MasterTable[[#This Row],[Spørgsmål]])-1),Table_Questions[#All],5,FALSE)</f>
        <v>4</v>
      </c>
      <c r="K24" s="52" t="e">
        <f>INDEX(Table_Modenhedsskala[Nummer],MATCH(VLOOKUP(LEFT(MasterTable[Spørgsmål],LEN(MasterTable[[#This Row],[Spørgsmål]])-1)&amp;"g",'3 Spørgeramme'!A:N,13,FALSE),Table_Modenhedsskala[Modenhedsgrad],0))</f>
        <v>#N/A</v>
      </c>
      <c r="L24" s="241">
        <f>INDEX(Table_Modenhedsskala[Nummer],MATCH(VLOOKUP(LEFT(MasterTable[Spørgsmål],LEN(MasterTable[[#This Row],[Spørgsmål]])-1)&amp;"h",'3 Spørgeramme'!A:N,13,FALSE),Table_Modenhedsskala[Modenhedsgrad],0))</f>
        <v>4</v>
      </c>
    </row>
    <row r="25" spans="1:12" x14ac:dyDescent="0.25">
      <c r="A25" s="96" t="str">
        <f t="shared" si="5"/>
        <v/>
      </c>
      <c r="B25" s="96" t="str">
        <f t="shared" si="6"/>
        <v/>
      </c>
      <c r="C25" s="96" t="str">
        <f t="shared" si="7"/>
        <v/>
      </c>
      <c r="D25" s="96" t="str">
        <f t="shared" si="8"/>
        <v/>
      </c>
      <c r="E25" s="97" t="str">
        <f t="shared" si="9"/>
        <v/>
      </c>
      <c r="F25" s="148" t="str">
        <f>VLOOKUP(LEFT(MasterTable[[#All],[Spørgsmål]],LEN(MasterTable[[#This Row],[Spørgsmål]])-1),Table_Questions[#All],2,FALSE)</f>
        <v>Support</v>
      </c>
      <c r="G25" s="50" t="str">
        <f>ROUNDUP(ROW(S_InputArk!$N24)/6,0)&amp;"."&amp;CHOOSE(IF(MOD(ROW(S_InputArk!$N24),6)=0,6,MOD(ROW(S_InputArk!$N24),6)),"a","b","c","d","e","f")</f>
        <v>4.f</v>
      </c>
      <c r="H25" s="96" t="str">
        <f>VLOOKUP(MasterTable[[#This Row],[Spørgsmål]],S_Lookupsheet!AT:AV,3,FALSE)</f>
        <v>N/A</v>
      </c>
      <c r="I25" s="50" t="e">
        <f>INDEX(Table_Modenhedsskala[Nummer],MATCH(VLOOKUP(MasterTable[Spørgsmål],'3 Spørgeramme'!A:N,13,FALSE),Table_Modenhedsskala[Modenhedsgrad],0))</f>
        <v>#N/A</v>
      </c>
      <c r="J25" s="52">
        <f>VLOOKUP(LEFT(MasterTable[[#All],[Spørgsmål]],LEN(MasterTable[[#This Row],[Spørgsmål]])-1),Table_Questions[#All],5,FALSE)</f>
        <v>4</v>
      </c>
      <c r="K25" s="52" t="e">
        <f>INDEX(Table_Modenhedsskala[Nummer],MATCH(VLOOKUP(LEFT(MasterTable[Spørgsmål],LEN(MasterTable[[#This Row],[Spørgsmål]])-1)&amp;"g",'3 Spørgeramme'!A:N,13,FALSE),Table_Modenhedsskala[Modenhedsgrad],0))</f>
        <v>#N/A</v>
      </c>
      <c r="L25" s="241">
        <f>INDEX(Table_Modenhedsskala[Nummer],MATCH(VLOOKUP(LEFT(MasterTable[Spørgsmål],LEN(MasterTable[[#This Row],[Spørgsmål]])-1)&amp;"h",'3 Spørgeramme'!A:N,13,FALSE),Table_Modenhedsskala[Modenhedsgrad],0))</f>
        <v>4</v>
      </c>
    </row>
    <row r="26" spans="1:12" x14ac:dyDescent="0.25">
      <c r="A26" s="52" t="str">
        <f t="shared" si="5"/>
        <v/>
      </c>
      <c r="B26" s="52" t="str">
        <f t="shared" si="6"/>
        <v/>
      </c>
      <c r="C26" s="52" t="str">
        <f t="shared" si="7"/>
        <v/>
      </c>
      <c r="D26" s="52" t="str">
        <f t="shared" si="8"/>
        <v/>
      </c>
      <c r="E26" s="51" t="str">
        <f t="shared" si="9"/>
        <v/>
      </c>
      <c r="F26" s="148" t="str">
        <f>VLOOKUP(LEFT(MasterTable[[#All],[Spørgsmål]],LEN(MasterTable[[#This Row],[Spørgsmål]])-1),Table_Questions[#All],2,FALSE)</f>
        <v xml:space="preserve">Drift </v>
      </c>
      <c r="G26" s="50" t="str">
        <f>ROUNDUP(ROW(S_InputArk!$N25)/6,0)&amp;"."&amp;CHOOSE(IF(MOD(ROW(S_InputArk!$N25),6)=0,6,MOD(ROW(S_InputArk!$N25),6)),"a","b","c","d","e","f")</f>
        <v>5.a</v>
      </c>
      <c r="H26" s="52" t="str">
        <f>VLOOKUP(MasterTable[[#This Row],[Spørgsmål]],S_Lookupsheet!AT:AV,3,FALSE)</f>
        <v>Planlægning og styring (8.1.1)</v>
      </c>
      <c r="I26" s="50" t="e">
        <f>INDEX(Table_Modenhedsskala[Nummer],MATCH(VLOOKUP(MasterTable[Spørgsmål],'3 Spørgeramme'!A:N,13,FALSE),Table_Modenhedsskala[Modenhedsgrad],0))</f>
        <v>#N/A</v>
      </c>
      <c r="J26" s="52">
        <f>VLOOKUP(LEFT(MasterTable[[#All],[Spørgsmål]],LEN(MasterTable[[#This Row],[Spørgsmål]])-1),Table_Questions[#All],5,FALSE)</f>
        <v>4</v>
      </c>
      <c r="K26" s="52" t="e">
        <f>INDEX(Table_Modenhedsskala[Nummer],MATCH(VLOOKUP(LEFT(MasterTable[Spørgsmål],LEN(MasterTable[[#This Row],[Spørgsmål]])-1)&amp;"g",'3 Spørgeramme'!A:N,13,FALSE),Table_Modenhedsskala[Modenhedsgrad],0))</f>
        <v>#N/A</v>
      </c>
      <c r="L26" s="241">
        <f>INDEX(Table_Modenhedsskala[Nummer],MATCH(VLOOKUP(LEFT(MasterTable[Spørgsmål],LEN(MasterTable[[#This Row],[Spørgsmål]])-1)&amp;"h",'3 Spørgeramme'!A:N,13,FALSE),Table_Modenhedsskala[Modenhedsgrad],0))</f>
        <v>4</v>
      </c>
    </row>
    <row r="27" spans="1:12" x14ac:dyDescent="0.25">
      <c r="A27" s="96" t="str">
        <f t="shared" si="5"/>
        <v/>
      </c>
      <c r="B27" s="96" t="str">
        <f t="shared" si="6"/>
        <v/>
      </c>
      <c r="C27" s="96" t="str">
        <f t="shared" si="7"/>
        <v/>
      </c>
      <c r="D27" s="96" t="str">
        <f t="shared" si="8"/>
        <v/>
      </c>
      <c r="E27" s="97" t="str">
        <f t="shared" si="9"/>
        <v/>
      </c>
      <c r="F27" s="148" t="str">
        <f>VLOOKUP(LEFT(MasterTable[[#All],[Spørgsmål]],LEN(MasterTable[[#This Row],[Spørgsmål]])-1),Table_Questions[#All],2,FALSE)</f>
        <v xml:space="preserve">Drift </v>
      </c>
      <c r="G27" s="50" t="str">
        <f>ROUNDUP(ROW(S_InputArk!$N26)/6,0)&amp;"."&amp;CHOOSE(IF(MOD(ROW(S_InputArk!$N26),6)=0,6,MOD(ROW(S_InputArk!$N26),6)),"a","b","c","d","e","f")</f>
        <v>5.b</v>
      </c>
      <c r="H27" s="96" t="str">
        <f>VLOOKUP(MasterTable[[#This Row],[Spørgsmål]],S_Lookupsheet!AT:AV,3,FALSE)</f>
        <v>Planlægning og styring (8.1.2)</v>
      </c>
      <c r="I27" s="50" t="e">
        <f>INDEX(Table_Modenhedsskala[Nummer],MATCH(VLOOKUP(MasterTable[Spørgsmål],'3 Spørgeramme'!A:N,13,FALSE),Table_Modenhedsskala[Modenhedsgrad],0))</f>
        <v>#N/A</v>
      </c>
      <c r="J27" s="52">
        <f>VLOOKUP(LEFT(MasterTable[[#All],[Spørgsmål]],LEN(MasterTable[[#This Row],[Spørgsmål]])-1),Table_Questions[#All],5,FALSE)</f>
        <v>4</v>
      </c>
      <c r="K27" s="52" t="e">
        <f>INDEX(Table_Modenhedsskala[Nummer],MATCH(VLOOKUP(LEFT(MasterTable[Spørgsmål],LEN(MasterTable[[#This Row],[Spørgsmål]])-1)&amp;"g",'3 Spørgeramme'!A:N,13,FALSE),Table_Modenhedsskala[Modenhedsgrad],0))</f>
        <v>#N/A</v>
      </c>
      <c r="L27" s="241">
        <f>INDEX(Table_Modenhedsskala[Nummer],MATCH(VLOOKUP(LEFT(MasterTable[Spørgsmål],LEN(MasterTable[[#This Row],[Spørgsmål]])-1)&amp;"h",'3 Spørgeramme'!A:N,13,FALSE),Table_Modenhedsskala[Modenhedsgrad],0))</f>
        <v>4</v>
      </c>
    </row>
    <row r="28" spans="1:12" x14ac:dyDescent="0.25">
      <c r="A28" s="96" t="str">
        <f t="shared" si="5"/>
        <v/>
      </c>
      <c r="B28" s="96" t="str">
        <f t="shared" si="6"/>
        <v/>
      </c>
      <c r="C28" s="96" t="str">
        <f t="shared" si="7"/>
        <v/>
      </c>
      <c r="D28" s="96" t="str">
        <f t="shared" si="8"/>
        <v/>
      </c>
      <c r="E28" s="97" t="str">
        <f t="shared" si="9"/>
        <v/>
      </c>
      <c r="F28" s="148" t="str">
        <f>VLOOKUP(LEFT(MasterTable[[#All],[Spørgsmål]],LEN(MasterTable[[#This Row],[Spørgsmål]])-1),Table_Questions[#All],2,FALSE)</f>
        <v xml:space="preserve">Drift </v>
      </c>
      <c r="G28" s="50" t="str">
        <f>ROUNDUP(ROW(S_InputArk!$N27)/6,0)&amp;"."&amp;CHOOSE(IF(MOD(ROW(S_InputArk!$N27),6)=0,6,MOD(ROW(S_InputArk!$N27),6)),"a","b","c","d","e","f")</f>
        <v>5.c</v>
      </c>
      <c r="H28" s="96" t="str">
        <f>VLOOKUP(MasterTable[[#This Row],[Spørgsmål]],S_Lookupsheet!AT:AV,3,FALSE)</f>
        <v>Planlægning og styring (8.1.3)</v>
      </c>
      <c r="I28" s="50" t="e">
        <f>INDEX(Table_Modenhedsskala[Nummer],MATCH(VLOOKUP(MasterTable[Spørgsmål],'3 Spørgeramme'!A:N,13,FALSE),Table_Modenhedsskala[Modenhedsgrad],0))</f>
        <v>#N/A</v>
      </c>
      <c r="J28" s="52">
        <f>VLOOKUP(LEFT(MasterTable[[#All],[Spørgsmål]],LEN(MasterTable[[#This Row],[Spørgsmål]])-1),Table_Questions[#All],5,FALSE)</f>
        <v>4</v>
      </c>
      <c r="K28" s="52" t="e">
        <f>INDEX(Table_Modenhedsskala[Nummer],MATCH(VLOOKUP(LEFT(MasterTable[Spørgsmål],LEN(MasterTable[[#This Row],[Spørgsmål]])-1)&amp;"g",'3 Spørgeramme'!A:N,13,FALSE),Table_Modenhedsskala[Modenhedsgrad],0))</f>
        <v>#N/A</v>
      </c>
      <c r="L28" s="241">
        <f>INDEX(Table_Modenhedsskala[Nummer],MATCH(VLOOKUP(LEFT(MasterTable[Spørgsmål],LEN(MasterTable[[#This Row],[Spørgsmål]])-1)&amp;"h",'3 Spørgeramme'!A:N,13,FALSE),Table_Modenhedsskala[Modenhedsgrad],0))</f>
        <v>4</v>
      </c>
    </row>
    <row r="29" spans="1:12" x14ac:dyDescent="0.25">
      <c r="A29" s="96" t="str">
        <f t="shared" si="5"/>
        <v/>
      </c>
      <c r="B29" s="96" t="str">
        <f t="shared" si="6"/>
        <v/>
      </c>
      <c r="C29" s="96" t="str">
        <f t="shared" si="7"/>
        <v/>
      </c>
      <c r="D29" s="96" t="str">
        <f t="shared" si="8"/>
        <v/>
      </c>
      <c r="E29" s="97" t="str">
        <f t="shared" si="9"/>
        <v/>
      </c>
      <c r="F29" s="148" t="str">
        <f>VLOOKUP(LEFT(MasterTable[[#All],[Spørgsmål]],LEN(MasterTable[[#This Row],[Spørgsmål]])-1),Table_Questions[#All],2,FALSE)</f>
        <v xml:space="preserve">Drift </v>
      </c>
      <c r="G29" s="50" t="str">
        <f>ROUNDUP(ROW(S_InputArk!$N28)/6,0)&amp;"."&amp;CHOOSE(IF(MOD(ROW(S_InputArk!$N28),6)=0,6,MOD(ROW(S_InputArk!$N28),6)),"a","b","c","d","e","f")</f>
        <v>5.d</v>
      </c>
      <c r="H29" s="96" t="str">
        <f>VLOOKUP(MasterTable[[#This Row],[Spørgsmål]],S_Lookupsheet!AT:AV,3,FALSE)</f>
        <v>Vurdering af risici (8.2)</v>
      </c>
      <c r="I29" s="50" t="e">
        <f>INDEX(Table_Modenhedsskala[Nummer],MATCH(VLOOKUP(MasterTable[Spørgsmål],'3 Spørgeramme'!A:N,13,FALSE),Table_Modenhedsskala[Modenhedsgrad],0))</f>
        <v>#N/A</v>
      </c>
      <c r="J29" s="52">
        <f>VLOOKUP(LEFT(MasterTable[[#All],[Spørgsmål]],LEN(MasterTable[[#This Row],[Spørgsmål]])-1),Table_Questions[#All],5,FALSE)</f>
        <v>4</v>
      </c>
      <c r="K29" s="52" t="e">
        <f>INDEX(Table_Modenhedsskala[Nummer],MATCH(VLOOKUP(LEFT(MasterTable[Spørgsmål],LEN(MasterTable[[#This Row],[Spørgsmål]])-1)&amp;"g",'3 Spørgeramme'!A:N,13,FALSE),Table_Modenhedsskala[Modenhedsgrad],0))</f>
        <v>#N/A</v>
      </c>
      <c r="L29" s="241">
        <f>INDEX(Table_Modenhedsskala[Nummer],MATCH(VLOOKUP(LEFT(MasterTable[Spørgsmål],LEN(MasterTable[[#This Row],[Spørgsmål]])-1)&amp;"h",'3 Spørgeramme'!A:N,13,FALSE),Table_Modenhedsskala[Modenhedsgrad],0))</f>
        <v>4</v>
      </c>
    </row>
    <row r="30" spans="1:12" x14ac:dyDescent="0.25">
      <c r="A30" s="96" t="str">
        <f t="shared" si="5"/>
        <v/>
      </c>
      <c r="B30" s="96" t="str">
        <f t="shared" si="6"/>
        <v/>
      </c>
      <c r="C30" s="96" t="str">
        <f t="shared" si="7"/>
        <v/>
      </c>
      <c r="D30" s="96" t="str">
        <f t="shared" si="8"/>
        <v/>
      </c>
      <c r="E30" s="97" t="str">
        <f t="shared" si="9"/>
        <v/>
      </c>
      <c r="F30" s="148" t="str">
        <f>VLOOKUP(LEFT(MasterTable[[#All],[Spørgsmål]],LEN(MasterTable[[#This Row],[Spørgsmål]])-1),Table_Questions[#All],2,FALSE)</f>
        <v xml:space="preserve">Drift </v>
      </c>
      <c r="G30" s="50" t="str">
        <f>ROUNDUP(ROW(S_InputArk!$N29)/6,0)&amp;"."&amp;CHOOSE(IF(MOD(ROW(S_InputArk!$N29),6)=0,6,MOD(ROW(S_InputArk!$N29),6)),"a","b","c","d","e","f")</f>
        <v>5.e</v>
      </c>
      <c r="H30" s="96" t="str">
        <f>VLOOKUP(MasterTable[[#This Row],[Spørgsmål]],S_Lookupsheet!AT:AV,3,FALSE)</f>
        <v>Håndtering af risici (8.3)</v>
      </c>
      <c r="I30" s="50" t="e">
        <f>INDEX(Table_Modenhedsskala[Nummer],MATCH(VLOOKUP(MasterTable[Spørgsmål],'3 Spørgeramme'!A:N,13,FALSE),Table_Modenhedsskala[Modenhedsgrad],0))</f>
        <v>#N/A</v>
      </c>
      <c r="J30" s="52">
        <f>VLOOKUP(LEFT(MasterTable[[#All],[Spørgsmål]],LEN(MasterTable[[#This Row],[Spørgsmål]])-1),Table_Questions[#All],5,FALSE)</f>
        <v>4</v>
      </c>
      <c r="K30" s="52" t="e">
        <f>INDEX(Table_Modenhedsskala[Nummer],MATCH(VLOOKUP(LEFT(MasterTable[Spørgsmål],LEN(MasterTable[[#This Row],[Spørgsmål]])-1)&amp;"g",'3 Spørgeramme'!A:N,13,FALSE),Table_Modenhedsskala[Modenhedsgrad],0))</f>
        <v>#N/A</v>
      </c>
      <c r="L30" s="241">
        <f>INDEX(Table_Modenhedsskala[Nummer],MATCH(VLOOKUP(LEFT(MasterTable[Spørgsmål],LEN(MasterTable[[#This Row],[Spørgsmål]])-1)&amp;"h",'3 Spørgeramme'!A:N,13,FALSE),Table_Modenhedsskala[Modenhedsgrad],0))</f>
        <v>4</v>
      </c>
    </row>
    <row r="31" spans="1:12" x14ac:dyDescent="0.25">
      <c r="A31" s="96" t="str">
        <f t="shared" si="5"/>
        <v/>
      </c>
      <c r="B31" s="96" t="str">
        <f t="shared" si="6"/>
        <v/>
      </c>
      <c r="C31" s="96" t="str">
        <f t="shared" si="7"/>
        <v/>
      </c>
      <c r="D31" s="96" t="str">
        <f t="shared" si="8"/>
        <v/>
      </c>
      <c r="E31" s="97" t="str">
        <f t="shared" si="9"/>
        <v/>
      </c>
      <c r="F31" s="148" t="str">
        <f>VLOOKUP(LEFT(MasterTable[[#All],[Spørgsmål]],LEN(MasterTable[[#This Row],[Spørgsmål]])-1),Table_Questions[#All],2,FALSE)</f>
        <v xml:space="preserve">Drift </v>
      </c>
      <c r="G31" s="50" t="str">
        <f>ROUNDUP(ROW(S_InputArk!$N30)/6,0)&amp;"."&amp;CHOOSE(IF(MOD(ROW(S_InputArk!$N30),6)=0,6,MOD(ROW(S_InputArk!$N30),6)),"a","b","c","d","e","f")</f>
        <v>5.f</v>
      </c>
      <c r="H31" s="96" t="str">
        <f>VLOOKUP(MasterTable[[#This Row],[Spørgsmål]],S_Lookupsheet!AT:AV,3,FALSE)</f>
        <v>N/A</v>
      </c>
      <c r="I31" s="50" t="e">
        <f>INDEX(Table_Modenhedsskala[Nummer],MATCH(VLOOKUP(MasterTable[Spørgsmål],'3 Spørgeramme'!A:N,13,FALSE),Table_Modenhedsskala[Modenhedsgrad],0))</f>
        <v>#N/A</v>
      </c>
      <c r="J31" s="52">
        <f>VLOOKUP(LEFT(MasterTable[[#All],[Spørgsmål]],LEN(MasterTable[[#This Row],[Spørgsmål]])-1),Table_Questions[#All],5,FALSE)</f>
        <v>4</v>
      </c>
      <c r="K31" s="52" t="e">
        <f>INDEX(Table_Modenhedsskala[Nummer],MATCH(VLOOKUP(LEFT(MasterTable[Spørgsmål],LEN(MasterTable[[#This Row],[Spørgsmål]])-1)&amp;"g",'3 Spørgeramme'!A:N,13,FALSE),Table_Modenhedsskala[Modenhedsgrad],0))</f>
        <v>#N/A</v>
      </c>
      <c r="L31" s="241">
        <f>INDEX(Table_Modenhedsskala[Nummer],MATCH(VLOOKUP(LEFT(MasterTable[Spørgsmål],LEN(MasterTable[[#This Row],[Spørgsmål]])-1)&amp;"h",'3 Spørgeramme'!A:N,13,FALSE),Table_Modenhedsskala[Modenhedsgrad],0))</f>
        <v>4</v>
      </c>
    </row>
    <row r="32" spans="1:12" x14ac:dyDescent="0.25">
      <c r="A32" s="52" t="str">
        <f t="shared" si="5"/>
        <v/>
      </c>
      <c r="B32" s="52" t="str">
        <f t="shared" si="6"/>
        <v/>
      </c>
      <c r="C32" s="52" t="str">
        <f t="shared" si="7"/>
        <v/>
      </c>
      <c r="D32" s="52" t="str">
        <f t="shared" si="8"/>
        <v/>
      </c>
      <c r="E32" s="51" t="str">
        <f t="shared" si="9"/>
        <v/>
      </c>
      <c r="F32" s="148" t="str">
        <f>VLOOKUP(LEFT(MasterTable[[#All],[Spørgsmål]],LEN(MasterTable[[#This Row],[Spørgsmål]])-1),Table_Questions[#All],2,FALSE)</f>
        <v>Evaluering</v>
      </c>
      <c r="G32" s="50" t="str">
        <f>ROUNDUP(ROW(S_InputArk!$N31)/6,0)&amp;"."&amp;CHOOSE(IF(MOD(ROW(S_InputArk!$N31),6)=0,6,MOD(ROW(S_InputArk!$N31),6)),"a","b","c","d","e","f")</f>
        <v>6.a</v>
      </c>
      <c r="H32" s="52" t="str">
        <f>VLOOKUP(MasterTable[[#This Row],[Spørgsmål]],S_Lookupsheet!AT:AV,3,FALSE)</f>
        <v>Overvågning, måling og evaluering (9.1)</v>
      </c>
      <c r="I32" s="50" t="e">
        <f>INDEX(Table_Modenhedsskala[Nummer],MATCH(VLOOKUP(MasterTable[Spørgsmål],'3 Spørgeramme'!A:N,13,FALSE),Table_Modenhedsskala[Modenhedsgrad],0))</f>
        <v>#N/A</v>
      </c>
      <c r="J32" s="52">
        <f>VLOOKUP(LEFT(MasterTable[[#All],[Spørgsmål]],LEN(MasterTable[[#This Row],[Spørgsmål]])-1),Table_Questions[#All],5,FALSE)</f>
        <v>4</v>
      </c>
      <c r="K32" s="52" t="e">
        <f>INDEX(Table_Modenhedsskala[Nummer],MATCH(VLOOKUP(LEFT(MasterTable[Spørgsmål],LEN(MasterTable[[#This Row],[Spørgsmål]])-1)&amp;"g",'3 Spørgeramme'!A:N,13,FALSE),Table_Modenhedsskala[Modenhedsgrad],0))</f>
        <v>#N/A</v>
      </c>
      <c r="L32" s="241">
        <f>INDEX(Table_Modenhedsskala[Nummer],MATCH(VLOOKUP(LEFT(MasterTable[Spørgsmål],LEN(MasterTable[[#This Row],[Spørgsmål]])-1)&amp;"h",'3 Spørgeramme'!A:N,13,FALSE),Table_Modenhedsskala[Modenhedsgrad],0))</f>
        <v>4</v>
      </c>
    </row>
    <row r="33" spans="1:19" x14ac:dyDescent="0.25">
      <c r="A33" s="96" t="str">
        <f t="shared" si="5"/>
        <v/>
      </c>
      <c r="B33" s="96" t="str">
        <f t="shared" si="6"/>
        <v/>
      </c>
      <c r="C33" s="96" t="str">
        <f t="shared" si="7"/>
        <v/>
      </c>
      <c r="D33" s="96" t="str">
        <f t="shared" si="8"/>
        <v/>
      </c>
      <c r="E33" s="97" t="str">
        <f t="shared" si="9"/>
        <v/>
      </c>
      <c r="F33" s="148" t="str">
        <f>VLOOKUP(LEFT(MasterTable[[#All],[Spørgsmål]],LEN(MasterTable[[#This Row],[Spørgsmål]])-1),Table_Questions[#All],2,FALSE)</f>
        <v>Evaluering</v>
      </c>
      <c r="G33" s="50" t="str">
        <f>ROUNDUP(ROW(S_InputArk!$N32)/6,0)&amp;"."&amp;CHOOSE(IF(MOD(ROW(S_InputArk!$N32),6)=0,6,MOD(ROW(S_InputArk!$N32),6)),"a","b","c","d","e","f")</f>
        <v>6.b</v>
      </c>
      <c r="H33" s="96" t="str">
        <f>VLOOKUP(MasterTable[[#This Row],[Spørgsmål]],S_Lookupsheet!AT:AV,3,FALSE)</f>
        <v>Audits (9.2.1)</v>
      </c>
      <c r="I33" s="50" t="e">
        <f>INDEX(Table_Modenhedsskala[Nummer],MATCH(VLOOKUP(MasterTable[Spørgsmål],'3 Spørgeramme'!A:N,13,FALSE),Table_Modenhedsskala[Modenhedsgrad],0))</f>
        <v>#N/A</v>
      </c>
      <c r="J33" s="52">
        <f>VLOOKUP(LEFT(MasterTable[[#All],[Spørgsmål]],LEN(MasterTable[[#This Row],[Spørgsmål]])-1),Table_Questions[#All],5,FALSE)</f>
        <v>4</v>
      </c>
      <c r="K33" s="52" t="e">
        <f>INDEX(Table_Modenhedsskala[Nummer],MATCH(VLOOKUP(LEFT(MasterTable[Spørgsmål],LEN(MasterTable[[#This Row],[Spørgsmål]])-1)&amp;"g",'3 Spørgeramme'!A:N,13,FALSE),Table_Modenhedsskala[Modenhedsgrad],0))</f>
        <v>#N/A</v>
      </c>
      <c r="L33" s="241">
        <f>INDEX(Table_Modenhedsskala[Nummer],MATCH(VLOOKUP(LEFT(MasterTable[Spørgsmål],LEN(MasterTable[[#This Row],[Spørgsmål]])-1)&amp;"h",'3 Spørgeramme'!A:N,13,FALSE),Table_Modenhedsskala[Modenhedsgrad],0))</f>
        <v>4</v>
      </c>
    </row>
    <row r="34" spans="1:19" x14ac:dyDescent="0.25">
      <c r="A34" s="96" t="str">
        <f t="shared" si="5"/>
        <v/>
      </c>
      <c r="B34" s="96" t="str">
        <f t="shared" si="6"/>
        <v/>
      </c>
      <c r="C34" s="96" t="str">
        <f t="shared" si="7"/>
        <v/>
      </c>
      <c r="D34" s="96" t="str">
        <f t="shared" si="8"/>
        <v/>
      </c>
      <c r="E34" s="97" t="str">
        <f t="shared" si="9"/>
        <v/>
      </c>
      <c r="F34" s="148" t="str">
        <f>VLOOKUP(LEFT(MasterTable[[#All],[Spørgsmål]],LEN(MasterTable[[#This Row],[Spørgsmål]])-1),Table_Questions[#All],2,FALSE)</f>
        <v>Evaluering</v>
      </c>
      <c r="G34" s="50" t="str">
        <f>ROUNDUP(ROW(S_InputArk!$N33)/6,0)&amp;"."&amp;CHOOSE(IF(MOD(ROW(S_InputArk!$N33),6)=0,6,MOD(ROW(S_InputArk!$N33),6)),"a","b","c","d","e","f")</f>
        <v>6.c</v>
      </c>
      <c r="H34" s="96" t="str">
        <f>VLOOKUP(MasterTable[[#This Row],[Spørgsmål]],S_Lookupsheet!AT:AV,3,FALSE)</f>
        <v>Audits (9.2.2)</v>
      </c>
      <c r="I34" s="50" t="e">
        <f>INDEX(Table_Modenhedsskala[Nummer],MATCH(VLOOKUP(MasterTable[Spørgsmål],'3 Spørgeramme'!A:N,13,FALSE),Table_Modenhedsskala[Modenhedsgrad],0))</f>
        <v>#N/A</v>
      </c>
      <c r="J34" s="52">
        <f>VLOOKUP(LEFT(MasterTable[[#All],[Spørgsmål]],LEN(MasterTable[[#This Row],[Spørgsmål]])-1),Table_Questions[#All],5,FALSE)</f>
        <v>4</v>
      </c>
      <c r="K34" s="52" t="e">
        <f>INDEX(Table_Modenhedsskala[Nummer],MATCH(VLOOKUP(LEFT(MasterTable[Spørgsmål],LEN(MasterTable[[#This Row],[Spørgsmål]])-1)&amp;"g",'3 Spørgeramme'!A:N,13,FALSE),Table_Modenhedsskala[Modenhedsgrad],0))</f>
        <v>#N/A</v>
      </c>
      <c r="L34" s="241">
        <f>INDEX(Table_Modenhedsskala[Nummer],MATCH(VLOOKUP(LEFT(MasterTable[Spørgsmål],LEN(MasterTable[[#This Row],[Spørgsmål]])-1)&amp;"h",'3 Spørgeramme'!A:N,13,FALSE),Table_Modenhedsskala[Modenhedsgrad],0))</f>
        <v>4</v>
      </c>
    </row>
    <row r="35" spans="1:19" x14ac:dyDescent="0.25">
      <c r="A35" s="96" t="str">
        <f t="shared" si="5"/>
        <v/>
      </c>
      <c r="B35" s="96" t="str">
        <f t="shared" si="6"/>
        <v/>
      </c>
      <c r="C35" s="96" t="str">
        <f t="shared" si="7"/>
        <v/>
      </c>
      <c r="D35" s="96" t="str">
        <f t="shared" si="8"/>
        <v/>
      </c>
      <c r="E35" s="97" t="str">
        <f t="shared" si="9"/>
        <v/>
      </c>
      <c r="F35" s="148" t="str">
        <f>VLOOKUP(LEFT(MasterTable[[#All],[Spørgsmål]],LEN(MasterTable[[#This Row],[Spørgsmål]])-1),Table_Questions[#All],2,FALSE)</f>
        <v>Evaluering</v>
      </c>
      <c r="G35" s="50" t="str">
        <f>ROUNDUP(ROW(S_InputArk!$N34)/6,0)&amp;"."&amp;CHOOSE(IF(MOD(ROW(S_InputArk!$N34),6)=0,6,MOD(ROW(S_InputArk!$N34),6)),"a","b","c","d","e","f")</f>
        <v>6.d</v>
      </c>
      <c r="H35" s="96" t="str">
        <f>VLOOKUP(MasterTable[[#This Row],[Spørgsmål]],S_Lookupsheet!AT:AV,3,FALSE)</f>
        <v>Ledelsens gennemgang (9.3)</v>
      </c>
      <c r="I35" s="50" t="e">
        <f>INDEX(Table_Modenhedsskala[Nummer],MATCH(VLOOKUP(MasterTable[Spørgsmål],'3 Spørgeramme'!A:N,13,FALSE),Table_Modenhedsskala[Modenhedsgrad],0))</f>
        <v>#N/A</v>
      </c>
      <c r="J35" s="52">
        <f>VLOOKUP(LEFT(MasterTable[[#All],[Spørgsmål]],LEN(MasterTable[[#This Row],[Spørgsmål]])-1),Table_Questions[#All],5,FALSE)</f>
        <v>4</v>
      </c>
      <c r="K35" s="52" t="e">
        <f>INDEX(Table_Modenhedsskala[Nummer],MATCH(VLOOKUP(LEFT(MasterTable[Spørgsmål],LEN(MasterTable[[#This Row],[Spørgsmål]])-1)&amp;"g",'3 Spørgeramme'!A:N,13,FALSE),Table_Modenhedsskala[Modenhedsgrad],0))</f>
        <v>#N/A</v>
      </c>
      <c r="L35" s="241">
        <f>INDEX(Table_Modenhedsskala[Nummer],MATCH(VLOOKUP(LEFT(MasterTable[Spørgsmål],LEN(MasterTable[[#This Row],[Spørgsmål]])-1)&amp;"h",'3 Spørgeramme'!A:N,13,FALSE),Table_Modenhedsskala[Modenhedsgrad],0))</f>
        <v>4</v>
      </c>
    </row>
    <row r="36" spans="1:19" x14ac:dyDescent="0.25">
      <c r="A36" s="96" t="str">
        <f t="shared" si="5"/>
        <v/>
      </c>
      <c r="B36" s="96" t="str">
        <f t="shared" si="6"/>
        <v/>
      </c>
      <c r="C36" s="96" t="str">
        <f t="shared" si="7"/>
        <v/>
      </c>
      <c r="D36" s="96" t="str">
        <f t="shared" si="8"/>
        <v/>
      </c>
      <c r="E36" s="97" t="str">
        <f t="shared" si="9"/>
        <v/>
      </c>
      <c r="F36" s="148" t="str">
        <f>VLOOKUP(LEFT(MasterTable[[#All],[Spørgsmål]],LEN(MasterTable[[#This Row],[Spørgsmål]])-1),Table_Questions[#All],2,FALSE)</f>
        <v>Evaluering</v>
      </c>
      <c r="G36" s="50" t="str">
        <f>ROUNDUP(ROW(S_InputArk!$N35)/6,0)&amp;"."&amp;CHOOSE(IF(MOD(ROW(S_InputArk!$N35),6)=0,6,MOD(ROW(S_InputArk!$N35),6)),"a","b","c","d","e","f")</f>
        <v>6.e</v>
      </c>
      <c r="H36" s="96" t="str">
        <f>VLOOKUP(MasterTable[[#This Row],[Spørgsmål]],S_Lookupsheet!AT:AV,3,FALSE)</f>
        <v>N/A</v>
      </c>
      <c r="I36" s="50" t="e">
        <f>INDEX(Table_Modenhedsskala[Nummer],MATCH(VLOOKUP(MasterTable[Spørgsmål],'3 Spørgeramme'!A:N,13,FALSE),Table_Modenhedsskala[Modenhedsgrad],0))</f>
        <v>#N/A</v>
      </c>
      <c r="J36" s="52">
        <f>VLOOKUP(LEFT(MasterTable[[#All],[Spørgsmål]],LEN(MasterTable[[#This Row],[Spørgsmål]])-1),Table_Questions[#All],5,FALSE)</f>
        <v>4</v>
      </c>
      <c r="K36" s="52" t="e">
        <f>INDEX(Table_Modenhedsskala[Nummer],MATCH(VLOOKUP(LEFT(MasterTable[Spørgsmål],LEN(MasterTable[[#This Row],[Spørgsmål]])-1)&amp;"g",'3 Spørgeramme'!A:N,13,FALSE),Table_Modenhedsskala[Modenhedsgrad],0))</f>
        <v>#N/A</v>
      </c>
      <c r="L36" s="241">
        <f>INDEX(Table_Modenhedsskala[Nummer],MATCH(VLOOKUP(LEFT(MasterTable[Spørgsmål],LEN(MasterTable[[#This Row],[Spørgsmål]])-1)&amp;"h",'3 Spørgeramme'!A:N,13,FALSE),Table_Modenhedsskala[Modenhedsgrad],0))</f>
        <v>4</v>
      </c>
    </row>
    <row r="37" spans="1:19" x14ac:dyDescent="0.25">
      <c r="A37" s="96" t="str">
        <f t="shared" si="5"/>
        <v/>
      </c>
      <c r="B37" s="96" t="str">
        <f t="shared" si="6"/>
        <v/>
      </c>
      <c r="C37" s="96" t="str">
        <f t="shared" si="7"/>
        <v/>
      </c>
      <c r="D37" s="96" t="str">
        <f t="shared" si="8"/>
        <v/>
      </c>
      <c r="E37" s="97" t="str">
        <f t="shared" si="9"/>
        <v/>
      </c>
      <c r="F37" s="148" t="str">
        <f>VLOOKUP(LEFT(MasterTable[[#All],[Spørgsmål]],LEN(MasterTable[[#This Row],[Spørgsmål]])-1),Table_Questions[#All],2,FALSE)</f>
        <v>Evaluering</v>
      </c>
      <c r="G37" s="50" t="str">
        <f>ROUNDUP(ROW(S_InputArk!$N36)/6,0)&amp;"."&amp;CHOOSE(IF(MOD(ROW(S_InputArk!$N36),6)=0,6,MOD(ROW(S_InputArk!$N36),6)),"a","b","c","d","e","f")</f>
        <v>6.f</v>
      </c>
      <c r="H37" s="96" t="str">
        <f>VLOOKUP(MasterTable[[#This Row],[Spørgsmål]],S_Lookupsheet!AT:AV,3,FALSE)</f>
        <v>N/A</v>
      </c>
      <c r="I37" s="50" t="e">
        <f>INDEX(Table_Modenhedsskala[Nummer],MATCH(VLOOKUP(MasterTable[Spørgsmål],'3 Spørgeramme'!A:N,13,FALSE),Table_Modenhedsskala[Modenhedsgrad],0))</f>
        <v>#N/A</v>
      </c>
      <c r="J37" s="52">
        <f>VLOOKUP(LEFT(MasterTable[[#All],[Spørgsmål]],LEN(MasterTable[[#This Row],[Spørgsmål]])-1),Table_Questions[#All],5,FALSE)</f>
        <v>4</v>
      </c>
      <c r="K37" s="52" t="e">
        <f>INDEX(Table_Modenhedsskala[Nummer],MATCH(VLOOKUP(LEFT(MasterTable[Spørgsmål],LEN(MasterTable[[#This Row],[Spørgsmål]])-1)&amp;"g",'3 Spørgeramme'!A:N,13,FALSE),Table_Modenhedsskala[Modenhedsgrad],0))</f>
        <v>#N/A</v>
      </c>
      <c r="L37" s="241">
        <f>INDEX(Table_Modenhedsskala[Nummer],MATCH(VLOOKUP(LEFT(MasterTable[Spørgsmål],LEN(MasterTable[[#This Row],[Spørgsmål]])-1)&amp;"h",'3 Spørgeramme'!A:N,13,FALSE),Table_Modenhedsskala[Modenhedsgrad],0))</f>
        <v>4</v>
      </c>
    </row>
    <row r="38" spans="1:19" x14ac:dyDescent="0.25">
      <c r="A38" s="52" t="str">
        <f t="shared" si="5"/>
        <v/>
      </c>
      <c r="B38" s="52" t="str">
        <f t="shared" si="6"/>
        <v/>
      </c>
      <c r="C38" s="52" t="str">
        <f t="shared" si="7"/>
        <v/>
      </c>
      <c r="D38" s="52" t="str">
        <f t="shared" si="8"/>
        <v/>
      </c>
      <c r="E38" s="51" t="str">
        <f t="shared" si="9"/>
        <v/>
      </c>
      <c r="F38" s="148" t="str">
        <f>VLOOKUP(LEFT(MasterTable[[#All],[Spørgsmål]],LEN(MasterTable[[#This Row],[Spørgsmål]])-1),Table_Questions[#All],2,FALSE)</f>
        <v>Løbende forbedringer</v>
      </c>
      <c r="G38" s="50" t="str">
        <f>ROUNDUP(ROW(S_InputArk!$N37)/6,0)&amp;"."&amp;CHOOSE(IF(MOD(ROW(S_InputArk!$N37),6)=0,6,MOD(ROW(S_InputArk!$N37),6)),"a","b","c","d","e","f")</f>
        <v>7.a</v>
      </c>
      <c r="H38" s="52" t="str">
        <f>VLOOKUP(MasterTable[[#This Row],[Spørgsmål]],S_Lookupsheet!AT:AV,3,FALSE)</f>
        <v>Afvigelser og korrigerende handlinger (10.1)</v>
      </c>
      <c r="I38" s="50" t="e">
        <f>INDEX(Table_Modenhedsskala[Nummer],MATCH(VLOOKUP(MasterTable[Spørgsmål],'3 Spørgeramme'!A:N,13,FALSE),Table_Modenhedsskala[Modenhedsgrad],0))</f>
        <v>#N/A</v>
      </c>
      <c r="J38" s="52">
        <f>VLOOKUP(LEFT(MasterTable[[#All],[Spørgsmål]],LEN(MasterTable[[#This Row],[Spørgsmål]])-1),Table_Questions[#All],5,FALSE)</f>
        <v>4</v>
      </c>
      <c r="K38" s="52" t="e">
        <f>INDEX(Table_Modenhedsskala[Nummer],MATCH(VLOOKUP(LEFT(MasterTable[Spørgsmål],LEN(MasterTable[[#This Row],[Spørgsmål]])-1)&amp;"g",'3 Spørgeramme'!A:N,13,FALSE),Table_Modenhedsskala[Modenhedsgrad],0))</f>
        <v>#N/A</v>
      </c>
      <c r="L38" s="241">
        <f>INDEX(Table_Modenhedsskala[Nummer],MATCH(VLOOKUP(LEFT(MasterTable[Spørgsmål],LEN(MasterTable[[#This Row],[Spørgsmål]])-1)&amp;"h",'3 Spørgeramme'!A:N,13,FALSE),Table_Modenhedsskala[Modenhedsgrad],0))</f>
        <v>4</v>
      </c>
    </row>
    <row r="39" spans="1:19" x14ac:dyDescent="0.25">
      <c r="A39" s="96" t="str">
        <f t="shared" si="5"/>
        <v/>
      </c>
      <c r="B39" s="96" t="str">
        <f t="shared" si="6"/>
        <v/>
      </c>
      <c r="C39" s="96" t="str">
        <f t="shared" si="7"/>
        <v/>
      </c>
      <c r="D39" s="96" t="str">
        <f t="shared" si="8"/>
        <v/>
      </c>
      <c r="E39" s="97" t="str">
        <f t="shared" si="9"/>
        <v/>
      </c>
      <c r="F39" s="148" t="str">
        <f>VLOOKUP(LEFT(MasterTable[[#All],[Spørgsmål]],LEN(MasterTable[[#This Row],[Spørgsmål]])-1),Table_Questions[#All],2,FALSE)</f>
        <v>Løbende forbedringer</v>
      </c>
      <c r="G39" s="50" t="str">
        <f>ROUNDUP(ROW(S_InputArk!$N38)/6,0)&amp;"."&amp;CHOOSE(IF(MOD(ROW(S_InputArk!$N38),6)=0,6,MOD(ROW(S_InputArk!$N38),6)),"a","b","c","d","e","f")</f>
        <v>7.b</v>
      </c>
      <c r="H39" s="96" t="str">
        <f>VLOOKUP(MasterTable[[#This Row],[Spørgsmål]],S_Lookupsheet!AT:AV,3,FALSE)</f>
        <v>Løbende forbedringer (10.2)</v>
      </c>
      <c r="I39" s="50" t="e">
        <f>INDEX(Table_Modenhedsskala[Nummer],MATCH(VLOOKUP(MasterTable[Spørgsmål],'3 Spørgeramme'!A:N,13,FALSE),Table_Modenhedsskala[Modenhedsgrad],0))</f>
        <v>#N/A</v>
      </c>
      <c r="J39" s="52">
        <f>VLOOKUP(LEFT(MasterTable[[#All],[Spørgsmål]],LEN(MasterTable[[#This Row],[Spørgsmål]])-1),Table_Questions[#All],5,FALSE)</f>
        <v>4</v>
      </c>
      <c r="K39" s="52" t="e">
        <f>INDEX(Table_Modenhedsskala[Nummer],MATCH(VLOOKUP(LEFT(MasterTable[Spørgsmål],LEN(MasterTable[[#This Row],[Spørgsmål]])-1)&amp;"g",'3 Spørgeramme'!A:N,13,FALSE),Table_Modenhedsskala[Modenhedsgrad],0))</f>
        <v>#N/A</v>
      </c>
      <c r="L39" s="241">
        <f>INDEX(Table_Modenhedsskala[Nummer],MATCH(VLOOKUP(LEFT(MasterTable[Spørgsmål],LEN(MasterTable[[#This Row],[Spørgsmål]])-1)&amp;"h",'3 Spørgeramme'!A:N,13,FALSE),Table_Modenhedsskala[Modenhedsgrad],0))</f>
        <v>4</v>
      </c>
    </row>
    <row r="40" spans="1:19" x14ac:dyDescent="0.25">
      <c r="A40" s="96" t="str">
        <f t="shared" si="5"/>
        <v/>
      </c>
      <c r="B40" s="96" t="str">
        <f t="shared" si="6"/>
        <v/>
      </c>
      <c r="C40" s="96" t="str">
        <f t="shared" si="7"/>
        <v/>
      </c>
      <c r="D40" s="96" t="str">
        <f t="shared" si="8"/>
        <v/>
      </c>
      <c r="E40" s="97" t="str">
        <f t="shared" si="9"/>
        <v/>
      </c>
      <c r="F40" s="148" t="str">
        <f>VLOOKUP(LEFT(MasterTable[[#All],[Spørgsmål]],LEN(MasterTable[[#This Row],[Spørgsmål]])-1),Table_Questions[#All],2,FALSE)</f>
        <v>Løbende forbedringer</v>
      </c>
      <c r="G40" s="50" t="str">
        <f>ROUNDUP(ROW(S_InputArk!$N39)/6,0)&amp;"."&amp;CHOOSE(IF(MOD(ROW(S_InputArk!$N39),6)=0,6,MOD(ROW(S_InputArk!$N39),6)),"a","b","c","d","e","f")</f>
        <v>7.c</v>
      </c>
      <c r="H40" s="96" t="str">
        <f>VLOOKUP(MasterTable[[#This Row],[Spørgsmål]],S_Lookupsheet!AT:AV,3,FALSE)</f>
        <v>N/A</v>
      </c>
      <c r="I40" s="50" t="e">
        <f>INDEX(Table_Modenhedsskala[Nummer],MATCH(VLOOKUP(MasterTable[Spørgsmål],'3 Spørgeramme'!A:N,13,FALSE),Table_Modenhedsskala[Modenhedsgrad],0))</f>
        <v>#N/A</v>
      </c>
      <c r="J40" s="52">
        <f>VLOOKUP(LEFT(MasterTable[[#All],[Spørgsmål]],LEN(MasterTable[[#This Row],[Spørgsmål]])-1),Table_Questions[#All],5,FALSE)</f>
        <v>4</v>
      </c>
      <c r="K40" s="52" t="e">
        <f>INDEX(Table_Modenhedsskala[Nummer],MATCH(VLOOKUP(LEFT(MasterTable[Spørgsmål],LEN(MasterTable[[#This Row],[Spørgsmål]])-1)&amp;"g",'3 Spørgeramme'!A:N,13,FALSE),Table_Modenhedsskala[Modenhedsgrad],0))</f>
        <v>#N/A</v>
      </c>
      <c r="L40" s="241">
        <f>INDEX(Table_Modenhedsskala[Nummer],MATCH(VLOOKUP(LEFT(MasterTable[Spørgsmål],LEN(MasterTable[[#This Row],[Spørgsmål]])-1)&amp;"h",'3 Spørgeramme'!A:N,13,FALSE),Table_Modenhedsskala[Modenhedsgrad],0))</f>
        <v>4</v>
      </c>
    </row>
    <row r="41" spans="1:19" x14ac:dyDescent="0.25">
      <c r="A41" s="96" t="str">
        <f t="shared" si="5"/>
        <v/>
      </c>
      <c r="B41" s="96" t="str">
        <f t="shared" si="6"/>
        <v/>
      </c>
      <c r="C41" s="96" t="str">
        <f t="shared" si="7"/>
        <v/>
      </c>
      <c r="D41" s="96" t="str">
        <f t="shared" si="8"/>
        <v/>
      </c>
      <c r="E41" s="97" t="str">
        <f t="shared" si="9"/>
        <v/>
      </c>
      <c r="F41" s="148" t="str">
        <f>VLOOKUP(LEFT(MasterTable[[#All],[Spørgsmål]],LEN(MasterTable[[#This Row],[Spørgsmål]])-1),Table_Questions[#All],2,FALSE)</f>
        <v>Løbende forbedringer</v>
      </c>
      <c r="G41" s="50" t="str">
        <f>ROUNDUP(ROW(S_InputArk!$N40)/6,0)&amp;"."&amp;CHOOSE(IF(MOD(ROW(S_InputArk!$N40),6)=0,6,MOD(ROW(S_InputArk!$N40),6)),"a","b","c","d","e","f")</f>
        <v>7.d</v>
      </c>
      <c r="H41" s="96" t="str">
        <f>VLOOKUP(MasterTable[[#This Row],[Spørgsmål]],S_Lookupsheet!AT:AV,3,FALSE)</f>
        <v>N/A</v>
      </c>
      <c r="I41" s="50" t="e">
        <f>INDEX(Table_Modenhedsskala[Nummer],MATCH(VLOOKUP(MasterTable[Spørgsmål],'3 Spørgeramme'!A:N,13,FALSE),Table_Modenhedsskala[Modenhedsgrad],0))</f>
        <v>#N/A</v>
      </c>
      <c r="J41" s="52">
        <f>VLOOKUP(LEFT(MasterTable[[#All],[Spørgsmål]],LEN(MasterTable[[#This Row],[Spørgsmål]])-1),Table_Questions[#All],5,FALSE)</f>
        <v>4</v>
      </c>
      <c r="K41" s="52" t="e">
        <f>INDEX(Table_Modenhedsskala[Nummer],MATCH(VLOOKUP(LEFT(MasterTable[Spørgsmål],LEN(MasterTable[[#This Row],[Spørgsmål]])-1)&amp;"g",'3 Spørgeramme'!A:N,13,FALSE),Table_Modenhedsskala[Modenhedsgrad],0))</f>
        <v>#N/A</v>
      </c>
      <c r="L41" s="241">
        <f>INDEX(Table_Modenhedsskala[Nummer],MATCH(VLOOKUP(LEFT(MasterTable[Spørgsmål],LEN(MasterTable[[#This Row],[Spørgsmål]])-1)&amp;"h",'3 Spørgeramme'!A:N,13,FALSE),Table_Modenhedsskala[Modenhedsgrad],0))</f>
        <v>4</v>
      </c>
    </row>
    <row r="42" spans="1:19" x14ac:dyDescent="0.25">
      <c r="A42" s="96" t="str">
        <f t="shared" si="5"/>
        <v/>
      </c>
      <c r="B42" s="96" t="str">
        <f t="shared" si="6"/>
        <v/>
      </c>
      <c r="C42" s="96" t="str">
        <f t="shared" si="7"/>
        <v/>
      </c>
      <c r="D42" s="96" t="str">
        <f t="shared" si="8"/>
        <v/>
      </c>
      <c r="E42" s="97" t="str">
        <f t="shared" si="9"/>
        <v/>
      </c>
      <c r="F42" s="148" t="str">
        <f>VLOOKUP(LEFT(MasterTable[[#All],[Spørgsmål]],LEN(MasterTable[[#This Row],[Spørgsmål]])-1),Table_Questions[#All],2,FALSE)</f>
        <v>Løbende forbedringer</v>
      </c>
      <c r="G42" s="50" t="str">
        <f>ROUNDUP(ROW(S_InputArk!$N41)/6,0)&amp;"."&amp;CHOOSE(IF(MOD(ROW(S_InputArk!$N41),6)=0,6,MOD(ROW(S_InputArk!$N41),6)),"a","b","c","d","e","f")</f>
        <v>7.e</v>
      </c>
      <c r="H42" s="96" t="str">
        <f>VLOOKUP(MasterTable[[#This Row],[Spørgsmål]],S_Lookupsheet!AT:AV,3,FALSE)</f>
        <v>N/A</v>
      </c>
      <c r="I42" s="50" t="e">
        <f>INDEX(Table_Modenhedsskala[Nummer],MATCH(VLOOKUP(MasterTable[Spørgsmål],'3 Spørgeramme'!A:N,13,FALSE),Table_Modenhedsskala[Modenhedsgrad],0))</f>
        <v>#N/A</v>
      </c>
      <c r="J42" s="52">
        <f>VLOOKUP(LEFT(MasterTable[[#All],[Spørgsmål]],LEN(MasterTable[[#This Row],[Spørgsmål]])-1),Table_Questions[#All],5,FALSE)</f>
        <v>4</v>
      </c>
      <c r="K42" s="52" t="e">
        <f>INDEX(Table_Modenhedsskala[Nummer],MATCH(VLOOKUP(LEFT(MasterTable[Spørgsmål],LEN(MasterTable[[#This Row],[Spørgsmål]])-1)&amp;"g",'3 Spørgeramme'!A:N,13,FALSE),Table_Modenhedsskala[Modenhedsgrad],0))</f>
        <v>#N/A</v>
      </c>
      <c r="L42" s="241">
        <f>INDEX(Table_Modenhedsskala[Nummer],MATCH(VLOOKUP(LEFT(MasterTable[Spørgsmål],LEN(MasterTable[[#This Row],[Spørgsmål]])-1)&amp;"h",'3 Spørgeramme'!A:N,13,FALSE),Table_Modenhedsskala[Modenhedsgrad],0))</f>
        <v>4</v>
      </c>
    </row>
    <row r="43" spans="1:19" x14ac:dyDescent="0.25">
      <c r="A43" s="96" t="str">
        <f t="shared" si="5"/>
        <v/>
      </c>
      <c r="B43" s="96" t="str">
        <f t="shared" si="6"/>
        <v/>
      </c>
      <c r="C43" s="96" t="str">
        <f t="shared" si="7"/>
        <v/>
      </c>
      <c r="D43" s="96" t="str">
        <f t="shared" si="8"/>
        <v/>
      </c>
      <c r="E43" s="97" t="str">
        <f t="shared" si="9"/>
        <v/>
      </c>
      <c r="F43" s="148" t="str">
        <f>VLOOKUP(LEFT(MasterTable[[#All],[Spørgsmål]],LEN(MasterTable[[#This Row],[Spørgsmål]])-1),Table_Questions[#All],2,FALSE)</f>
        <v>Løbende forbedringer</v>
      </c>
      <c r="G43" s="50" t="str">
        <f>ROUNDUP(ROW(S_InputArk!$N42)/6,0)&amp;"."&amp;CHOOSE(IF(MOD(ROW(S_InputArk!$N42),6)=0,6,MOD(ROW(S_InputArk!$N42),6)),"a","b","c","d","e","f")</f>
        <v>7.f</v>
      </c>
      <c r="H43" s="96" t="str">
        <f>VLOOKUP(MasterTable[[#This Row],[Spørgsmål]],S_Lookupsheet!AT:AV,3,FALSE)</f>
        <v>N/A</v>
      </c>
      <c r="I43" s="50" t="e">
        <f>INDEX(Table_Modenhedsskala[Nummer],MATCH(VLOOKUP(MasterTable[Spørgsmål],'3 Spørgeramme'!A:N,13,FALSE),Table_Modenhedsskala[Modenhedsgrad],0))</f>
        <v>#N/A</v>
      </c>
      <c r="J43" s="52">
        <f>VLOOKUP(LEFT(MasterTable[[#All],[Spørgsmål]],LEN(MasterTable[[#This Row],[Spørgsmål]])-1),Table_Questions[#All],5,FALSE)</f>
        <v>4</v>
      </c>
      <c r="K43" s="52" t="e">
        <f>INDEX(Table_Modenhedsskala[Nummer],MATCH(VLOOKUP(LEFT(MasterTable[Spørgsmål],LEN(MasterTable[[#This Row],[Spørgsmål]])-1)&amp;"g",'3 Spørgeramme'!A:N,13,FALSE),Table_Modenhedsskala[Modenhedsgrad],0))</f>
        <v>#N/A</v>
      </c>
      <c r="L43" s="241">
        <f>INDEX(Table_Modenhedsskala[Nummer],MATCH(VLOOKUP(LEFT(MasterTable[Spørgsmål],LEN(MasterTable[[#This Row],[Spørgsmål]])-1)&amp;"h",'3 Spørgeramme'!A:N,13,FALSE),Table_Modenhedsskala[Modenhedsgrad],0))</f>
        <v>4</v>
      </c>
    </row>
    <row r="44" spans="1:19" x14ac:dyDescent="0.25">
      <c r="A44" s="52" t="str">
        <f t="shared" ref="A44:A61" si="10">IF(Ministeriuminput="","",Ministeriuminput)</f>
        <v/>
      </c>
      <c r="B44" s="52" t="str">
        <f t="shared" ref="B44:B61" si="11">IF(Styrelse="","",Styrelse)</f>
        <v/>
      </c>
      <c r="C44" s="52" t="str">
        <f t="shared" ref="C44:C61" si="12">IF(Name="","",Name)</f>
        <v/>
      </c>
      <c r="D44" s="52" t="str">
        <f t="shared" ref="D44:D61" si="13">IF(Mail="","",Mail)</f>
        <v/>
      </c>
      <c r="E44" s="51" t="str">
        <f t="shared" ref="E44:E61" si="14">IF(Date="","",Date)</f>
        <v/>
      </c>
      <c r="F44" s="148" t="str">
        <f>VLOOKUP(LEFT(MasterTable[[#All],[Spørgsmål]],LEN(MasterTable[[#This Row],[Spørgsmål]])-1),Table_Questions[#All],2,FALSE)</f>
        <v>Leverandørstyring</v>
      </c>
      <c r="G44" s="50" t="str">
        <f>ROUNDUP(ROW(S_InputArk!$N43)/6,0)&amp;"."&amp;CHOOSE(IF(MOD(ROW(S_InputArk!$N43),6)=0,6,MOD(ROW(S_InputArk!$N43),6)),"a","b","c","d","e","f")</f>
        <v>8.a</v>
      </c>
      <c r="H44" s="52" t="str">
        <f>VLOOKUP(MasterTable[[#This Row],[Spørgsmål]],S_Lookupsheet!AT:AV,3,FALSE)</f>
        <v>Plan for håndtering (A.15.1.1 og A.15.1.2)</v>
      </c>
      <c r="I44" s="50" t="e">
        <f>INDEX(Table_Modenhedsskala[Nummer],MATCH(VLOOKUP(MasterTable[Spørgsmål],'3 Spørgeramme'!A:N,13,FALSE),Table_Modenhedsskala[Modenhedsgrad],0))</f>
        <v>#N/A</v>
      </c>
      <c r="J44" s="52">
        <f>VLOOKUP(LEFT(MasterTable[[#All],[Spørgsmål]],LEN(MasterTable[[#This Row],[Spørgsmål]])-1),Table_Questions[#All],5,FALSE)</f>
        <v>4</v>
      </c>
      <c r="K44" s="52" t="e">
        <f>INDEX(Table_Modenhedsskala[Nummer],MATCH(VLOOKUP(LEFT(MasterTable[Spørgsmål],LEN(MasterTable[[#This Row],[Spørgsmål]])-1)&amp;"g",'3 Spørgeramme'!A:N,13,FALSE),Table_Modenhedsskala[Modenhedsgrad],0))</f>
        <v>#N/A</v>
      </c>
      <c r="L44" s="241">
        <f>INDEX(Table_Modenhedsskala[Nummer],MATCH(VLOOKUP(LEFT(MasterTable[Spørgsmål],LEN(MasterTable[[#This Row],[Spørgsmål]])-1)&amp;"h",'3 Spørgeramme'!A:N,13,FALSE),Table_Modenhedsskala[Modenhedsgrad],0))</f>
        <v>4</v>
      </c>
      <c r="O44" s="22"/>
      <c r="P44" s="22"/>
      <c r="Q44" s="22"/>
      <c r="S44" s="22"/>
    </row>
    <row r="45" spans="1:19" x14ac:dyDescent="0.25">
      <c r="A45" s="96" t="str">
        <f t="shared" si="10"/>
        <v/>
      </c>
      <c r="B45" s="96" t="str">
        <f t="shared" si="11"/>
        <v/>
      </c>
      <c r="C45" s="96" t="str">
        <f t="shared" si="12"/>
        <v/>
      </c>
      <c r="D45" s="96" t="str">
        <f t="shared" si="13"/>
        <v/>
      </c>
      <c r="E45" s="97" t="str">
        <f t="shared" si="14"/>
        <v/>
      </c>
      <c r="F45" s="148" t="str">
        <f>VLOOKUP(LEFT(MasterTable[[#All],[Spørgsmål]],LEN(MasterTable[[#This Row],[Spørgsmål]])-1),Table_Questions[#All],2,FALSE)</f>
        <v>Leverandørstyring</v>
      </c>
      <c r="G45" s="50" t="str">
        <f>ROUNDUP(ROW(S_InputArk!$N44)/6,0)&amp;"."&amp;CHOOSE(IF(MOD(ROW(S_InputArk!$N44),6)=0,6,MOD(ROW(S_InputArk!$N44),6)),"a","b","c","d","e","f")</f>
        <v>8.b</v>
      </c>
      <c r="H45" s="96" t="str">
        <f>VLOOKUP(MasterTable[[#This Row],[Spørgsmål]],S_Lookupsheet!AT:AV,3,FALSE)</f>
        <v>Evaluering (A.15.2.1 og A.15.2.2)</v>
      </c>
      <c r="I45" s="50" t="e">
        <f>INDEX(Table_Modenhedsskala[Nummer],MATCH(VLOOKUP(MasterTable[Spørgsmål],'3 Spørgeramme'!A:N,13,FALSE),Table_Modenhedsskala[Modenhedsgrad],0))</f>
        <v>#N/A</v>
      </c>
      <c r="J45" s="52">
        <f>VLOOKUP(LEFT(MasterTable[[#All],[Spørgsmål]],LEN(MasterTable[[#This Row],[Spørgsmål]])-1),Table_Questions[#All],5,FALSE)</f>
        <v>4</v>
      </c>
      <c r="K45" s="52" t="e">
        <f>INDEX(Table_Modenhedsskala[Nummer],MATCH(VLOOKUP(LEFT(MasterTable[Spørgsmål],LEN(MasterTable[[#This Row],[Spørgsmål]])-1)&amp;"g",'3 Spørgeramme'!A:N,13,FALSE),Table_Modenhedsskala[Modenhedsgrad],0))</f>
        <v>#N/A</v>
      </c>
      <c r="L45" s="241">
        <f>INDEX(Table_Modenhedsskala[Nummer],MATCH(VLOOKUP(LEFT(MasterTable[Spørgsmål],LEN(MasterTable[[#This Row],[Spørgsmål]])-1)&amp;"h",'3 Spørgeramme'!A:N,13,FALSE),Table_Modenhedsskala[Modenhedsgrad],0))</f>
        <v>4</v>
      </c>
      <c r="O45" s="22"/>
      <c r="P45" s="22"/>
      <c r="Q45" s="22"/>
      <c r="S45" s="22"/>
    </row>
    <row r="46" spans="1:19" x14ac:dyDescent="0.25">
      <c r="A46" s="96" t="str">
        <f t="shared" si="10"/>
        <v/>
      </c>
      <c r="B46" s="96" t="str">
        <f t="shared" si="11"/>
        <v/>
      </c>
      <c r="C46" s="96" t="str">
        <f t="shared" si="12"/>
        <v/>
      </c>
      <c r="D46" s="96" t="str">
        <f t="shared" si="13"/>
        <v/>
      </c>
      <c r="E46" s="97" t="str">
        <f t="shared" si="14"/>
        <v/>
      </c>
      <c r="F46" s="148" t="str">
        <f>VLOOKUP(LEFT(MasterTable[[#All],[Spørgsmål]],LEN(MasterTable[[#This Row],[Spørgsmål]])-1),Table_Questions[#All],2,FALSE)</f>
        <v>Leverandørstyring</v>
      </c>
      <c r="G46" s="50" t="str">
        <f>ROUNDUP(ROW(S_InputArk!$N45)/6,0)&amp;"."&amp;CHOOSE(IF(MOD(ROW(S_InputArk!$N45),6)=0,6,MOD(ROW(S_InputArk!$N45),6)),"a","b","c","d","e","f")</f>
        <v>8.c</v>
      </c>
      <c r="H46" s="96" t="str">
        <f>VLOOKUP(MasterTable[[#This Row],[Spørgsmål]],S_Lookupsheet!AT:AV,3,FALSE)</f>
        <v>Tilsyn (A.15.2.1 og A.15.2.2)</v>
      </c>
      <c r="I46" s="50" t="e">
        <f>INDEX(Table_Modenhedsskala[Nummer],MATCH(VLOOKUP(MasterTable[Spørgsmål],'3 Spørgeramme'!A:N,13,FALSE),Table_Modenhedsskala[Modenhedsgrad],0))</f>
        <v>#N/A</v>
      </c>
      <c r="J46" s="52">
        <f>VLOOKUP(LEFT(MasterTable[[#All],[Spørgsmål]],LEN(MasterTable[[#This Row],[Spørgsmål]])-1),Table_Questions[#All],5,FALSE)</f>
        <v>4</v>
      </c>
      <c r="K46" s="52" t="e">
        <f>INDEX(Table_Modenhedsskala[Nummer],MATCH(VLOOKUP(LEFT(MasterTable[Spørgsmål],LEN(MasterTable[[#This Row],[Spørgsmål]])-1)&amp;"g",'3 Spørgeramme'!A:N,13,FALSE),Table_Modenhedsskala[Modenhedsgrad],0))</f>
        <v>#N/A</v>
      </c>
      <c r="L46" s="241">
        <f>INDEX(Table_Modenhedsskala[Nummer],MATCH(VLOOKUP(LEFT(MasterTable[Spørgsmål],LEN(MasterTable[[#This Row],[Spørgsmål]])-1)&amp;"h",'3 Spørgeramme'!A:N,13,FALSE),Table_Modenhedsskala[Modenhedsgrad],0))</f>
        <v>4</v>
      </c>
      <c r="O46" s="22"/>
      <c r="P46" s="22"/>
      <c r="Q46" s="22"/>
      <c r="S46" s="22"/>
    </row>
    <row r="47" spans="1:19" x14ac:dyDescent="0.25">
      <c r="A47" s="96" t="str">
        <f t="shared" si="10"/>
        <v/>
      </c>
      <c r="B47" s="96" t="str">
        <f t="shared" si="11"/>
        <v/>
      </c>
      <c r="C47" s="96" t="str">
        <f t="shared" si="12"/>
        <v/>
      </c>
      <c r="D47" s="96" t="str">
        <f t="shared" si="13"/>
        <v/>
      </c>
      <c r="E47" s="97" t="str">
        <f t="shared" si="14"/>
        <v/>
      </c>
      <c r="F47" s="148" t="str">
        <f>VLOOKUP(LEFT(MasterTable[[#All],[Spørgsmål]],LEN(MasterTable[[#This Row],[Spørgsmål]])-1),Table_Questions[#All],2,FALSE)</f>
        <v>Leverandørstyring</v>
      </c>
      <c r="G47" s="50" t="str">
        <f>ROUNDUP(ROW(S_InputArk!$N46)/6,0)&amp;"."&amp;CHOOSE(IF(MOD(ROW(S_InputArk!$N46),6)=0,6,MOD(ROW(S_InputArk!$N46),6)),"a","b","c","d","e","f")</f>
        <v>8.d</v>
      </c>
      <c r="H47" s="96" t="str">
        <f>VLOOKUP(MasterTable[[#This Row],[Spørgsmål]],S_Lookupsheet!AT:AV,3,FALSE)</f>
        <v>Møder (A.15.2.1 og A.15.2.2)</v>
      </c>
      <c r="I47" s="50" t="e">
        <f>INDEX(Table_Modenhedsskala[Nummer],MATCH(VLOOKUP(MasterTable[Spørgsmål],'3 Spørgeramme'!A:N,13,FALSE),Table_Modenhedsskala[Modenhedsgrad],0))</f>
        <v>#N/A</v>
      </c>
      <c r="J47" s="52">
        <f>VLOOKUP(LEFT(MasterTable[[#All],[Spørgsmål]],LEN(MasterTable[[#This Row],[Spørgsmål]])-1),Table_Questions[#All],5,FALSE)</f>
        <v>4</v>
      </c>
      <c r="K47" s="52" t="e">
        <f>INDEX(Table_Modenhedsskala[Nummer],MATCH(VLOOKUP(LEFT(MasterTable[Spørgsmål],LEN(MasterTable[[#This Row],[Spørgsmål]])-1)&amp;"g",'3 Spørgeramme'!A:N,13,FALSE),Table_Modenhedsskala[Modenhedsgrad],0))</f>
        <v>#N/A</v>
      </c>
      <c r="L47" s="241">
        <f>INDEX(Table_Modenhedsskala[Nummer],MATCH(VLOOKUP(LEFT(MasterTable[Spørgsmål],LEN(MasterTable[[#This Row],[Spørgsmål]])-1)&amp;"h",'3 Spørgeramme'!A:N,13,FALSE),Table_Modenhedsskala[Modenhedsgrad],0))</f>
        <v>4</v>
      </c>
      <c r="O47" s="22"/>
      <c r="P47" s="22"/>
      <c r="Q47" s="22"/>
      <c r="S47" s="22"/>
    </row>
    <row r="48" spans="1:19" x14ac:dyDescent="0.25">
      <c r="A48" s="96" t="str">
        <f t="shared" si="10"/>
        <v/>
      </c>
      <c r="B48" s="96" t="str">
        <f t="shared" si="11"/>
        <v/>
      </c>
      <c r="C48" s="96" t="str">
        <f t="shared" si="12"/>
        <v/>
      </c>
      <c r="D48" s="96" t="str">
        <f t="shared" si="13"/>
        <v/>
      </c>
      <c r="E48" s="97" t="str">
        <f t="shared" si="14"/>
        <v/>
      </c>
      <c r="F48" s="148" t="str">
        <f>VLOOKUP(LEFT(MasterTable[[#All],[Spørgsmål]],LEN(MasterTable[[#This Row],[Spørgsmål]])-1),Table_Questions[#All],2,FALSE)</f>
        <v>Leverandørstyring</v>
      </c>
      <c r="G48" s="50" t="str">
        <f>ROUNDUP(ROW(S_InputArk!$N47)/6,0)&amp;"."&amp;CHOOSE(IF(MOD(ROW(S_InputArk!$N47),6)=0,6,MOD(ROW(S_InputArk!$N47),6)),"a","b","c","d","e","f")</f>
        <v>8.e</v>
      </c>
      <c r="H48" s="96" t="str">
        <f>VLOOKUP(MasterTable[[#This Row],[Spørgsmål]],S_Lookupsheet!AT:AV,3,FALSE)</f>
        <v>N/A</v>
      </c>
      <c r="I48" s="50" t="e">
        <f>INDEX(Table_Modenhedsskala[Nummer],MATCH(VLOOKUP(MasterTable[Spørgsmål],'3 Spørgeramme'!A:N,13,FALSE),Table_Modenhedsskala[Modenhedsgrad],0))</f>
        <v>#N/A</v>
      </c>
      <c r="J48" s="52">
        <f>VLOOKUP(LEFT(MasterTable[[#All],[Spørgsmål]],LEN(MasterTable[[#This Row],[Spørgsmål]])-1),Table_Questions[#All],5,FALSE)</f>
        <v>4</v>
      </c>
      <c r="K48" s="52" t="e">
        <f>INDEX(Table_Modenhedsskala[Nummer],MATCH(VLOOKUP(LEFT(MasterTable[Spørgsmål],LEN(MasterTable[[#This Row],[Spørgsmål]])-1)&amp;"g",'3 Spørgeramme'!A:N,13,FALSE),Table_Modenhedsskala[Modenhedsgrad],0))</f>
        <v>#N/A</v>
      </c>
      <c r="L48" s="241">
        <f>INDEX(Table_Modenhedsskala[Nummer],MATCH(VLOOKUP(LEFT(MasterTable[Spørgsmål],LEN(MasterTable[[#This Row],[Spørgsmål]])-1)&amp;"h",'3 Spørgeramme'!A:N,13,FALSE),Table_Modenhedsskala[Modenhedsgrad],0))</f>
        <v>4</v>
      </c>
      <c r="O48" s="22"/>
      <c r="P48" s="22"/>
      <c r="Q48" s="22"/>
      <c r="S48" s="22"/>
    </row>
    <row r="49" spans="1:19" x14ac:dyDescent="0.25">
      <c r="A49" s="96" t="str">
        <f t="shared" si="10"/>
        <v/>
      </c>
      <c r="B49" s="96" t="str">
        <f t="shared" si="11"/>
        <v/>
      </c>
      <c r="C49" s="96" t="str">
        <f t="shared" si="12"/>
        <v/>
      </c>
      <c r="D49" s="96" t="str">
        <f t="shared" si="13"/>
        <v/>
      </c>
      <c r="E49" s="97" t="str">
        <f t="shared" si="14"/>
        <v/>
      </c>
      <c r="F49" s="148" t="str">
        <f>VLOOKUP(LEFT(MasterTable[[#All],[Spørgsmål]],LEN(MasterTable[[#This Row],[Spørgsmål]])-1),Table_Questions[#All],2,FALSE)</f>
        <v>Leverandørstyring</v>
      </c>
      <c r="G49" s="50" t="str">
        <f>ROUNDUP(ROW(S_InputArk!$N48)/6,0)&amp;"."&amp;CHOOSE(IF(MOD(ROW(S_InputArk!$N48),6)=0,6,MOD(ROW(S_InputArk!$N48),6)),"a","b","c","d","e","f")</f>
        <v>8.f</v>
      </c>
      <c r="H49" s="96" t="str">
        <f>VLOOKUP(MasterTable[[#This Row],[Spørgsmål]],S_Lookupsheet!AT:AV,3,FALSE)</f>
        <v>N/A</v>
      </c>
      <c r="I49" s="50" t="e">
        <f>INDEX(Table_Modenhedsskala[Nummer],MATCH(VLOOKUP(MasterTable[Spørgsmål],'3 Spørgeramme'!A:N,13,FALSE),Table_Modenhedsskala[Modenhedsgrad],0))</f>
        <v>#N/A</v>
      </c>
      <c r="J49" s="52">
        <f>VLOOKUP(LEFT(MasterTable[[#All],[Spørgsmål]],LEN(MasterTable[[#This Row],[Spørgsmål]])-1),Table_Questions[#All],5,FALSE)</f>
        <v>4</v>
      </c>
      <c r="K49" s="52" t="e">
        <f>INDEX(Table_Modenhedsskala[Nummer],MATCH(VLOOKUP(LEFT(MasterTable[Spørgsmål],LEN(MasterTable[[#This Row],[Spørgsmål]])-1)&amp;"g",'3 Spørgeramme'!A:N,13,FALSE),Table_Modenhedsskala[Modenhedsgrad],0))</f>
        <v>#N/A</v>
      </c>
      <c r="L49" s="241">
        <f>INDEX(Table_Modenhedsskala[Nummer],MATCH(VLOOKUP(LEFT(MasterTable[Spørgsmål],LEN(MasterTable[[#This Row],[Spørgsmål]])-1)&amp;"h",'3 Spørgeramme'!A:N,13,FALSE),Table_Modenhedsskala[Modenhedsgrad],0))</f>
        <v>4</v>
      </c>
      <c r="O49" s="22"/>
      <c r="P49" s="22"/>
      <c r="Q49" s="22"/>
      <c r="S49" s="22"/>
    </row>
    <row r="50" spans="1:19" x14ac:dyDescent="0.25">
      <c r="A50" s="96" t="str">
        <f t="shared" si="10"/>
        <v/>
      </c>
      <c r="B50" s="96" t="str">
        <f t="shared" si="11"/>
        <v/>
      </c>
      <c r="C50" s="96" t="str">
        <f t="shared" si="12"/>
        <v/>
      </c>
      <c r="D50" s="96" t="str">
        <f t="shared" si="13"/>
        <v/>
      </c>
      <c r="E50" s="97" t="str">
        <f t="shared" si="14"/>
        <v/>
      </c>
      <c r="F50" s="148" t="str">
        <f>VLOOKUP(LEFT(MasterTable[[#All],[Spørgsmål]],LEN(MasterTable[[#This Row],[Spørgsmål]])-1),Table_Questions[#All],2,FALSE)</f>
        <v>Beredskabsplaner</v>
      </c>
      <c r="G50" s="50" t="str">
        <f>ROUNDUP(ROW(S_InputArk!$N49)/6,0)&amp;"."&amp;CHOOSE(IF(MOD(ROW(S_InputArk!$N49),6)=0,6,MOD(ROW(S_InputArk!$N49),6)),"a","b","c","d","e","f")</f>
        <v>9.a</v>
      </c>
      <c r="H50" s="96" t="str">
        <f>VLOOKUP(MasterTable[[#This Row],[Spørgsmål]],S_Lookupsheet!AT:AV,3,FALSE)</f>
        <v>Håndtering af hændelser (A.17.1.2)</v>
      </c>
      <c r="I50" s="50" t="e">
        <f>INDEX(Table_Modenhedsskala[Nummer],MATCH(VLOOKUP(MasterTable[Spørgsmål],'3 Spørgeramme'!A:N,13,FALSE),Table_Modenhedsskala[Modenhedsgrad],0))</f>
        <v>#N/A</v>
      </c>
      <c r="J50" s="52">
        <f>VLOOKUP(LEFT(MasterTable[[#All],[Spørgsmål]],LEN(MasterTable[[#This Row],[Spørgsmål]])-1),Table_Questions[#All],5,FALSE)</f>
        <v>4</v>
      </c>
      <c r="K50" s="52" t="e">
        <f>INDEX(Table_Modenhedsskala[Nummer],MATCH(VLOOKUP(LEFT(MasterTable[Spørgsmål],LEN(MasterTable[[#This Row],[Spørgsmål]])-1)&amp;"g",'3 Spørgeramme'!A:N,13,FALSE),Table_Modenhedsskala[Modenhedsgrad],0))</f>
        <v>#N/A</v>
      </c>
      <c r="L50" s="241">
        <f>INDEX(Table_Modenhedsskala[Nummer],MATCH(VLOOKUP(LEFT(MasterTable[Spørgsmål],LEN(MasterTable[[#This Row],[Spørgsmål]])-1)&amp;"h",'3 Spørgeramme'!A:N,13,FALSE),Table_Modenhedsskala[Modenhedsgrad],0))</f>
        <v>4</v>
      </c>
      <c r="O50" s="22"/>
      <c r="P50" s="22"/>
      <c r="Q50" s="22"/>
      <c r="S50" s="22"/>
    </row>
    <row r="51" spans="1:19" x14ac:dyDescent="0.25">
      <c r="A51" s="96" t="str">
        <f t="shared" si="10"/>
        <v/>
      </c>
      <c r="B51" s="96" t="str">
        <f t="shared" si="11"/>
        <v/>
      </c>
      <c r="C51" s="96" t="str">
        <f t="shared" si="12"/>
        <v/>
      </c>
      <c r="D51" s="96" t="str">
        <f t="shared" si="13"/>
        <v/>
      </c>
      <c r="E51" s="97" t="str">
        <f t="shared" si="14"/>
        <v/>
      </c>
      <c r="F51" s="148" t="str">
        <f>VLOOKUP(LEFT(MasterTable[[#All],[Spørgsmål]],LEN(MasterTable[[#This Row],[Spørgsmål]])-1),Table_Questions[#All],2,FALSE)</f>
        <v>Beredskabsplaner</v>
      </c>
      <c r="G51" s="50" t="str">
        <f>ROUNDUP(ROW(S_InputArk!$N50)/6,0)&amp;"."&amp;CHOOSE(IF(MOD(ROW(S_InputArk!$N50),6)=0,6,MOD(ROW(S_InputArk!$N50),6)),"a","b","c","d","e","f")</f>
        <v>9.b</v>
      </c>
      <c r="H51" s="96" t="str">
        <f>VLOOKUP(MasterTable[[#This Row],[Spørgsmål]],S_Lookupsheet!AT:AV,3,FALSE)</f>
        <v>Beredskabsplaner (A.17.1.2)</v>
      </c>
      <c r="I51" s="50" t="e">
        <f>INDEX(Table_Modenhedsskala[Nummer],MATCH(VLOOKUP(MasterTable[Spørgsmål],'3 Spørgeramme'!A:N,13,FALSE),Table_Modenhedsskala[Modenhedsgrad],0))</f>
        <v>#N/A</v>
      </c>
      <c r="J51" s="52">
        <f>VLOOKUP(LEFT(MasterTable[[#All],[Spørgsmål]],LEN(MasterTable[[#This Row],[Spørgsmål]])-1),Table_Questions[#All],5,FALSE)</f>
        <v>4</v>
      </c>
      <c r="K51" s="52" t="e">
        <f>INDEX(Table_Modenhedsskala[Nummer],MATCH(VLOOKUP(LEFT(MasterTable[Spørgsmål],LEN(MasterTable[[#This Row],[Spørgsmål]])-1)&amp;"g",'3 Spørgeramme'!A:N,13,FALSE),Table_Modenhedsskala[Modenhedsgrad],0))</f>
        <v>#N/A</v>
      </c>
      <c r="L51" s="241">
        <f>INDEX(Table_Modenhedsskala[Nummer],MATCH(VLOOKUP(LEFT(MasterTable[Spørgsmål],LEN(MasterTable[[#This Row],[Spørgsmål]])-1)&amp;"h",'3 Spørgeramme'!A:N,13,FALSE),Table_Modenhedsskala[Modenhedsgrad],0))</f>
        <v>4</v>
      </c>
      <c r="O51" s="22"/>
      <c r="P51" s="22"/>
      <c r="Q51" s="22"/>
      <c r="S51" s="22"/>
    </row>
    <row r="52" spans="1:19" x14ac:dyDescent="0.25">
      <c r="A52" s="96" t="str">
        <f t="shared" si="10"/>
        <v/>
      </c>
      <c r="B52" s="96" t="str">
        <f t="shared" si="11"/>
        <v/>
      </c>
      <c r="C52" s="96" t="str">
        <f t="shared" si="12"/>
        <v/>
      </c>
      <c r="D52" s="96" t="str">
        <f t="shared" si="13"/>
        <v/>
      </c>
      <c r="E52" s="97" t="str">
        <f t="shared" si="14"/>
        <v/>
      </c>
      <c r="F52" s="148" t="str">
        <f>VLOOKUP(LEFT(MasterTable[[#All],[Spørgsmål]],LEN(MasterTable[[#This Row],[Spørgsmål]])-1),Table_Questions[#All],2,FALSE)</f>
        <v>Beredskabsplaner</v>
      </c>
      <c r="G52" s="50" t="str">
        <f>ROUNDUP(ROW(S_InputArk!$N51)/6,0)&amp;"."&amp;CHOOSE(IF(MOD(ROW(S_InputArk!$N51),6)=0,6,MOD(ROW(S_InputArk!$N51),6)),"a","b","c","d","e","f")</f>
        <v>9.c</v>
      </c>
      <c r="H52" s="96" t="str">
        <f>VLOOKUP(MasterTable[[#This Row],[Spørgsmål]],S_Lookupsheet!AT:AV,3,FALSE)</f>
        <v>Afprøvning og evaluering (A.17.1.3)</v>
      </c>
      <c r="I52" s="50" t="e">
        <f>INDEX(Table_Modenhedsskala[Nummer],MATCH(VLOOKUP(MasterTable[Spørgsmål],'3 Spørgeramme'!A:N,13,FALSE),Table_Modenhedsskala[Modenhedsgrad],0))</f>
        <v>#N/A</v>
      </c>
      <c r="J52" s="52">
        <f>VLOOKUP(LEFT(MasterTable[[#All],[Spørgsmål]],LEN(MasterTable[[#This Row],[Spørgsmål]])-1),Table_Questions[#All],5,FALSE)</f>
        <v>4</v>
      </c>
      <c r="K52" s="52" t="e">
        <f>INDEX(Table_Modenhedsskala[Nummer],MATCH(VLOOKUP(LEFT(MasterTable[Spørgsmål],LEN(MasterTable[[#This Row],[Spørgsmål]])-1)&amp;"g",'3 Spørgeramme'!A:N,13,FALSE),Table_Modenhedsskala[Modenhedsgrad],0))</f>
        <v>#N/A</v>
      </c>
      <c r="L52" s="241">
        <f>INDEX(Table_Modenhedsskala[Nummer],MATCH(VLOOKUP(LEFT(MasterTable[Spørgsmål],LEN(MasterTable[[#This Row],[Spørgsmål]])-1)&amp;"h",'3 Spørgeramme'!A:N,13,FALSE),Table_Modenhedsskala[Modenhedsgrad],0))</f>
        <v>4</v>
      </c>
      <c r="O52" s="22"/>
      <c r="P52" s="22"/>
      <c r="Q52" s="22"/>
      <c r="S52" s="22"/>
    </row>
    <row r="53" spans="1:19" x14ac:dyDescent="0.25">
      <c r="A53" s="96" t="str">
        <f t="shared" si="10"/>
        <v/>
      </c>
      <c r="B53" s="96" t="str">
        <f t="shared" si="11"/>
        <v/>
      </c>
      <c r="C53" s="96" t="str">
        <f t="shared" si="12"/>
        <v/>
      </c>
      <c r="D53" s="96" t="str">
        <f t="shared" si="13"/>
        <v/>
      </c>
      <c r="E53" s="97" t="str">
        <f t="shared" si="14"/>
        <v/>
      </c>
      <c r="F53" s="148" t="str">
        <f>VLOOKUP(LEFT(MasterTable[[#All],[Spørgsmål]],LEN(MasterTable[[#This Row],[Spørgsmål]])-1),Table_Questions[#All],2,FALSE)</f>
        <v>Beredskabsplaner</v>
      </c>
      <c r="G53" s="50" t="str">
        <f>ROUNDUP(ROW(S_InputArk!$N52)/6,0)&amp;"."&amp;CHOOSE(IF(MOD(ROW(S_InputArk!$N52),6)=0,6,MOD(ROW(S_InputArk!$N52),6)),"a","b","c","d","e","f")</f>
        <v>9.d</v>
      </c>
      <c r="H53" s="96" t="str">
        <f>VLOOKUP(MasterTable[[#This Row],[Spørgsmål]],S_Lookupsheet!AT:AV,3,FALSE)</f>
        <v>Reetableringstest (A.17.1.3)</v>
      </c>
      <c r="I53" s="50" t="e">
        <f>INDEX(Table_Modenhedsskala[Nummer],MATCH(VLOOKUP(MasterTable[Spørgsmål],'3 Spørgeramme'!A:N,13,FALSE),Table_Modenhedsskala[Modenhedsgrad],0))</f>
        <v>#N/A</v>
      </c>
      <c r="J53" s="52">
        <f>VLOOKUP(LEFT(MasterTable[[#All],[Spørgsmål]],LEN(MasterTable[[#This Row],[Spørgsmål]])-1),Table_Questions[#All],5,FALSE)</f>
        <v>4</v>
      </c>
      <c r="K53" s="52" t="e">
        <f>INDEX(Table_Modenhedsskala[Nummer],MATCH(VLOOKUP(LEFT(MasterTable[Spørgsmål],LEN(MasterTable[[#This Row],[Spørgsmål]])-1)&amp;"g",'3 Spørgeramme'!A:N,13,FALSE),Table_Modenhedsskala[Modenhedsgrad],0))</f>
        <v>#N/A</v>
      </c>
      <c r="L53" s="241">
        <f>INDEX(Table_Modenhedsskala[Nummer],MATCH(VLOOKUP(LEFT(MasterTable[Spørgsmål],LEN(MasterTable[[#This Row],[Spørgsmål]])-1)&amp;"h",'3 Spørgeramme'!A:N,13,FALSE),Table_Modenhedsskala[Modenhedsgrad],0))</f>
        <v>4</v>
      </c>
      <c r="O53" s="22"/>
      <c r="P53" s="22"/>
      <c r="Q53" s="22"/>
      <c r="S53" s="22"/>
    </row>
    <row r="54" spans="1:19" x14ac:dyDescent="0.25">
      <c r="A54" s="96" t="str">
        <f t="shared" si="10"/>
        <v/>
      </c>
      <c r="B54" s="96" t="str">
        <f t="shared" si="11"/>
        <v/>
      </c>
      <c r="C54" s="96" t="str">
        <f t="shared" si="12"/>
        <v/>
      </c>
      <c r="D54" s="96" t="str">
        <f t="shared" si="13"/>
        <v/>
      </c>
      <c r="E54" s="97" t="str">
        <f t="shared" si="14"/>
        <v/>
      </c>
      <c r="F54" s="148" t="str">
        <f>VLOOKUP(LEFT(MasterTable[[#All],[Spørgsmål]],LEN(MasterTable[[#This Row],[Spørgsmål]])-1),Table_Questions[#All],2,FALSE)</f>
        <v>Beredskabsplaner</v>
      </c>
      <c r="G54" s="50" t="str">
        <f>ROUNDUP(ROW(S_InputArk!$N53)/6,0)&amp;"."&amp;CHOOSE(IF(MOD(ROW(S_InputArk!$N53),6)=0,6,MOD(ROW(S_InputArk!$N53),6)),"a","b","c","d","e","f")</f>
        <v>9.e</v>
      </c>
      <c r="H54" s="96" t="str">
        <f>VLOOKUP(MasterTable[[#This Row],[Spørgsmål]],S_Lookupsheet!AT:AV,3,FALSE)</f>
        <v>N/A</v>
      </c>
      <c r="I54" s="50" t="e">
        <f>INDEX(Table_Modenhedsskala[Nummer],MATCH(VLOOKUP(MasterTable[Spørgsmål],'3 Spørgeramme'!A:N,13,FALSE),Table_Modenhedsskala[Modenhedsgrad],0))</f>
        <v>#N/A</v>
      </c>
      <c r="J54" s="52">
        <f>VLOOKUP(LEFT(MasterTable[[#All],[Spørgsmål]],LEN(MasterTable[[#This Row],[Spørgsmål]])-1),Table_Questions[#All],5,FALSE)</f>
        <v>4</v>
      </c>
      <c r="K54" s="52" t="e">
        <f>INDEX(Table_Modenhedsskala[Nummer],MATCH(VLOOKUP(LEFT(MasterTable[Spørgsmål],LEN(MasterTable[[#This Row],[Spørgsmål]])-1)&amp;"g",'3 Spørgeramme'!A:N,13,FALSE),Table_Modenhedsskala[Modenhedsgrad],0))</f>
        <v>#N/A</v>
      </c>
      <c r="L54" s="241">
        <f>INDEX(Table_Modenhedsskala[Nummer],MATCH(VLOOKUP(LEFT(MasterTable[Spørgsmål],LEN(MasterTable[[#This Row],[Spørgsmål]])-1)&amp;"h",'3 Spørgeramme'!A:N,13,FALSE),Table_Modenhedsskala[Modenhedsgrad],0))</f>
        <v>4</v>
      </c>
      <c r="O54" s="22"/>
      <c r="P54" s="22"/>
      <c r="Q54" s="22"/>
      <c r="S54" s="22"/>
    </row>
    <row r="55" spans="1:19" x14ac:dyDescent="0.25">
      <c r="A55" s="96" t="str">
        <f t="shared" si="10"/>
        <v/>
      </c>
      <c r="B55" s="96" t="str">
        <f t="shared" si="11"/>
        <v/>
      </c>
      <c r="C55" s="96" t="str">
        <f t="shared" si="12"/>
        <v/>
      </c>
      <c r="D55" s="96" t="str">
        <f t="shared" si="13"/>
        <v/>
      </c>
      <c r="E55" s="97" t="str">
        <f t="shared" si="14"/>
        <v/>
      </c>
      <c r="F55" s="148" t="str">
        <f>VLOOKUP(LEFT(MasterTable[[#All],[Spørgsmål]],LEN(MasterTable[[#This Row],[Spørgsmål]])-1),Table_Questions[#All],2,FALSE)</f>
        <v>Beredskabsplaner</v>
      </c>
      <c r="G55" s="50" t="str">
        <f>ROUNDUP(ROW(S_InputArk!$N54)/6,0)&amp;"."&amp;CHOOSE(IF(MOD(ROW(S_InputArk!$N54),6)=0,6,MOD(ROW(S_InputArk!$N54),6)),"a","b","c","d","e","f")</f>
        <v>9.f</v>
      </c>
      <c r="H55" s="96" t="str">
        <f>VLOOKUP(MasterTable[[#This Row],[Spørgsmål]],S_Lookupsheet!AT:AV,3,FALSE)</f>
        <v>N/A</v>
      </c>
      <c r="I55" s="50" t="e">
        <f>INDEX(Table_Modenhedsskala[Nummer],MATCH(VLOOKUP(MasterTable[Spørgsmål],'3 Spørgeramme'!A:N,13,FALSE),Table_Modenhedsskala[Modenhedsgrad],0))</f>
        <v>#N/A</v>
      </c>
      <c r="J55" s="52">
        <f>VLOOKUP(LEFT(MasterTable[[#All],[Spørgsmål]],LEN(MasterTable[[#This Row],[Spørgsmål]])-1),Table_Questions[#All],5,FALSE)</f>
        <v>4</v>
      </c>
      <c r="K55" s="52" t="e">
        <f>INDEX(Table_Modenhedsskala[Nummer],MATCH(VLOOKUP(LEFT(MasterTable[Spørgsmål],LEN(MasterTable[[#This Row],[Spørgsmål]])-1)&amp;"g",'3 Spørgeramme'!A:N,13,FALSE),Table_Modenhedsskala[Modenhedsgrad],0))</f>
        <v>#N/A</v>
      </c>
      <c r="L55" s="241">
        <f>INDEX(Table_Modenhedsskala[Nummer],MATCH(VLOOKUP(LEFT(MasterTable[Spørgsmål],LEN(MasterTable[[#This Row],[Spørgsmål]])-1)&amp;"h",'3 Spørgeramme'!A:N,13,FALSE),Table_Modenhedsskala[Modenhedsgrad],0))</f>
        <v>4</v>
      </c>
      <c r="O55" s="22"/>
      <c r="P55" s="22"/>
      <c r="Q55" s="22"/>
      <c r="S55" s="22"/>
    </row>
    <row r="56" spans="1:19" x14ac:dyDescent="0.25">
      <c r="A56" s="96" t="str">
        <f t="shared" si="10"/>
        <v/>
      </c>
      <c r="B56" s="96" t="str">
        <f t="shared" si="11"/>
        <v/>
      </c>
      <c r="C56" s="96" t="str">
        <f t="shared" si="12"/>
        <v/>
      </c>
      <c r="D56" s="96" t="str">
        <f t="shared" si="13"/>
        <v/>
      </c>
      <c r="E56" s="97" t="str">
        <f t="shared" si="14"/>
        <v/>
      </c>
      <c r="F56" s="148" t="str">
        <f>VLOOKUP(LEFT(MasterTable[[#All],[Spørgsmål]],LEN(MasterTable[[#This Row],[Spørgsmål]])-1),Table_Questions[#All],2,FALSE)</f>
        <v>Ikke angivet</v>
      </c>
      <c r="G56" s="50" t="str">
        <f>ROUNDUP(ROW(S_InputArk!$N55)/6,0)&amp;"."&amp;CHOOSE(IF(MOD(ROW(S_InputArk!$N55),6)=0,6,MOD(ROW(S_InputArk!$N55),6)),"a","b","c","d","e","f")</f>
        <v>10.a</v>
      </c>
      <c r="H56" s="96">
        <f>VLOOKUP(MasterTable[[#This Row],[Spørgsmål]],S_Lookupsheet!AT:AV,3,FALSE)</f>
        <v>0</v>
      </c>
      <c r="I56" s="50" t="e">
        <f>INDEX(Table_Modenhedsskala[Nummer],MATCH(VLOOKUP(MasterTable[Spørgsmål],'3 Spørgeramme'!A:N,13,FALSE),Table_Modenhedsskala[Modenhedsgrad],0))</f>
        <v>#N/A</v>
      </c>
      <c r="J56" s="52">
        <f>VLOOKUP(LEFT(MasterTable[[#All],[Spørgsmål]],LEN(MasterTable[[#This Row],[Spørgsmål]])-1),Table_Questions[#All],5,FALSE)</f>
        <v>4</v>
      </c>
      <c r="K56" s="52" t="e">
        <f>INDEX(Table_Modenhedsskala[Nummer],MATCH(VLOOKUP(LEFT(MasterTable[Spørgsmål],LEN(MasterTable[[#This Row],[Spørgsmål]])-1)&amp;"g",'3 Spørgeramme'!A:N,13,FALSE),Table_Modenhedsskala[Modenhedsgrad],0))</f>
        <v>#N/A</v>
      </c>
      <c r="L56" s="241" t="e">
        <f>INDEX(Table_Modenhedsskala[Nummer],MATCH(VLOOKUP(LEFT(MasterTable[Spørgsmål],LEN(MasterTable[[#This Row],[Spørgsmål]])-1)&amp;"h",'3 Spørgeramme'!A:N,13,FALSE),Table_Modenhedsskala[Modenhedsgrad],0))</f>
        <v>#N/A</v>
      </c>
      <c r="O56" s="22"/>
      <c r="P56" s="22"/>
      <c r="Q56" s="22"/>
      <c r="S56" s="22"/>
    </row>
    <row r="57" spans="1:19" x14ac:dyDescent="0.25">
      <c r="A57" s="96" t="str">
        <f t="shared" si="10"/>
        <v/>
      </c>
      <c r="B57" s="96" t="str">
        <f t="shared" si="11"/>
        <v/>
      </c>
      <c r="C57" s="96" t="str">
        <f t="shared" si="12"/>
        <v/>
      </c>
      <c r="D57" s="96" t="str">
        <f t="shared" si="13"/>
        <v/>
      </c>
      <c r="E57" s="97" t="str">
        <f t="shared" si="14"/>
        <v/>
      </c>
      <c r="F57" s="148" t="str">
        <f>VLOOKUP(LEFT(MasterTable[[#All],[Spørgsmål]],LEN(MasterTable[[#This Row],[Spørgsmål]])-1),Table_Questions[#All],2,FALSE)</f>
        <v>Ikke angivet</v>
      </c>
      <c r="G57" s="50" t="str">
        <f>ROUNDUP(ROW(S_InputArk!$N56)/6,0)&amp;"."&amp;CHOOSE(IF(MOD(ROW(S_InputArk!$N56),6)=0,6,MOD(ROW(S_InputArk!$N56),6)),"a","b","c","d","e","f")</f>
        <v>10.b</v>
      </c>
      <c r="H57" s="96">
        <f>VLOOKUP(MasterTable[[#This Row],[Spørgsmål]],S_Lookupsheet!AT:AV,3,FALSE)</f>
        <v>0</v>
      </c>
      <c r="I57" s="50" t="e">
        <f>INDEX(Table_Modenhedsskala[Nummer],MATCH(VLOOKUP(MasterTable[Spørgsmål],'3 Spørgeramme'!A:N,13,FALSE),Table_Modenhedsskala[Modenhedsgrad],0))</f>
        <v>#N/A</v>
      </c>
      <c r="J57" s="52">
        <f>VLOOKUP(LEFT(MasterTable[[#All],[Spørgsmål]],LEN(MasterTable[[#This Row],[Spørgsmål]])-1),Table_Questions[#All],5,FALSE)</f>
        <v>4</v>
      </c>
      <c r="K57" s="52" t="e">
        <f>INDEX(Table_Modenhedsskala[Nummer],MATCH(VLOOKUP(LEFT(MasterTable[Spørgsmål],LEN(MasterTable[[#This Row],[Spørgsmål]])-1)&amp;"g",'3 Spørgeramme'!A:N,13,FALSE),Table_Modenhedsskala[Modenhedsgrad],0))</f>
        <v>#N/A</v>
      </c>
      <c r="L57" s="241" t="e">
        <f>INDEX(Table_Modenhedsskala[Nummer],MATCH(VLOOKUP(LEFT(MasterTable[Spørgsmål],LEN(MasterTable[[#This Row],[Spørgsmål]])-1)&amp;"h",'3 Spørgeramme'!A:N,13,FALSE),Table_Modenhedsskala[Modenhedsgrad],0))</f>
        <v>#N/A</v>
      </c>
      <c r="O57" s="22"/>
      <c r="P57" s="22"/>
      <c r="Q57" s="22"/>
      <c r="S57" s="22"/>
    </row>
    <row r="58" spans="1:19" x14ac:dyDescent="0.25">
      <c r="A58" s="52" t="str">
        <f t="shared" si="10"/>
        <v/>
      </c>
      <c r="B58" s="52" t="str">
        <f t="shared" si="11"/>
        <v/>
      </c>
      <c r="C58" s="52" t="str">
        <f t="shared" si="12"/>
        <v/>
      </c>
      <c r="D58" s="52" t="str">
        <f t="shared" si="13"/>
        <v/>
      </c>
      <c r="E58" s="51" t="str">
        <f t="shared" si="14"/>
        <v/>
      </c>
      <c r="F58" s="148" t="str">
        <f>VLOOKUP(LEFT(MasterTable[[#All],[Spørgsmål]],LEN(MasterTable[[#This Row],[Spørgsmål]])-1),Table_Questions[#All],2,FALSE)</f>
        <v>Ikke angivet</v>
      </c>
      <c r="G58" s="50" t="str">
        <f>ROUNDUP(ROW(S_InputArk!$N57)/6,0)&amp;"."&amp;CHOOSE(IF(MOD(ROW(S_InputArk!$N57),6)=0,6,MOD(ROW(S_InputArk!$N57),6)),"a","b","c","d","e","f")</f>
        <v>10.c</v>
      </c>
      <c r="H58" s="52">
        <f>VLOOKUP(MasterTable[[#This Row],[Spørgsmål]],S_Lookupsheet!AT:AV,3,FALSE)</f>
        <v>0</v>
      </c>
      <c r="I58" s="50" t="e">
        <f>INDEX(Table_Modenhedsskala[Nummer],MATCH(VLOOKUP(MasterTable[Spørgsmål],'3 Spørgeramme'!A:N,13,FALSE),Table_Modenhedsskala[Modenhedsgrad],0))</f>
        <v>#N/A</v>
      </c>
      <c r="J58" s="52">
        <f>VLOOKUP(LEFT(MasterTable[[#All],[Spørgsmål]],LEN(MasterTable[[#This Row],[Spørgsmål]])-1),Table_Questions[#All],5,FALSE)</f>
        <v>4</v>
      </c>
      <c r="K58" s="52" t="e">
        <f>INDEX(Table_Modenhedsskala[Nummer],MATCH(VLOOKUP(LEFT(MasterTable[Spørgsmål],LEN(MasterTable[[#This Row],[Spørgsmål]])-1)&amp;"g",'3 Spørgeramme'!A:N,13,FALSE),Table_Modenhedsskala[Modenhedsgrad],0))</f>
        <v>#N/A</v>
      </c>
      <c r="L58" s="241" t="e">
        <f>INDEX(Table_Modenhedsskala[Nummer],MATCH(VLOOKUP(LEFT(MasterTable[Spørgsmål],LEN(MasterTable[[#This Row],[Spørgsmål]])-1)&amp;"h",'3 Spørgeramme'!A:N,13,FALSE),Table_Modenhedsskala[Modenhedsgrad],0))</f>
        <v>#N/A</v>
      </c>
      <c r="O58" s="22"/>
      <c r="P58" s="22"/>
      <c r="Q58" s="22"/>
      <c r="S58" s="22"/>
    </row>
    <row r="59" spans="1:19" x14ac:dyDescent="0.25">
      <c r="A59" s="96" t="str">
        <f t="shared" si="10"/>
        <v/>
      </c>
      <c r="B59" s="96" t="str">
        <f t="shared" si="11"/>
        <v/>
      </c>
      <c r="C59" s="96" t="str">
        <f t="shared" si="12"/>
        <v/>
      </c>
      <c r="D59" s="96" t="str">
        <f t="shared" si="13"/>
        <v/>
      </c>
      <c r="E59" s="97" t="str">
        <f t="shared" si="14"/>
        <v/>
      </c>
      <c r="F59" s="148" t="str">
        <f>VLOOKUP(LEFT(MasterTable[[#All],[Spørgsmål]],LEN(MasterTable[[#This Row],[Spørgsmål]])-1),Table_Questions[#All],2,FALSE)</f>
        <v>Ikke angivet</v>
      </c>
      <c r="G59" s="50" t="str">
        <f>ROUNDUP(ROW(S_InputArk!$N58)/6,0)&amp;"."&amp;CHOOSE(IF(MOD(ROW(S_InputArk!$N58),6)=0,6,MOD(ROW(S_InputArk!$N58),6)),"a","b","c","d","e","f")</f>
        <v>10.d</v>
      </c>
      <c r="H59" s="96">
        <f>VLOOKUP(MasterTable[[#This Row],[Spørgsmål]],S_Lookupsheet!AT:AV,3,FALSE)</f>
        <v>0</v>
      </c>
      <c r="I59" s="50" t="e">
        <f>INDEX(Table_Modenhedsskala[Nummer],MATCH(VLOOKUP(MasterTable[Spørgsmål],'3 Spørgeramme'!A:N,13,FALSE),Table_Modenhedsskala[Modenhedsgrad],0))</f>
        <v>#N/A</v>
      </c>
      <c r="J59" s="52">
        <f>VLOOKUP(LEFT(MasterTable[[#All],[Spørgsmål]],LEN(MasterTable[[#This Row],[Spørgsmål]])-1),Table_Questions[#All],5,FALSE)</f>
        <v>4</v>
      </c>
      <c r="K59" s="52" t="e">
        <f>INDEX(Table_Modenhedsskala[Nummer],MATCH(VLOOKUP(LEFT(MasterTable[Spørgsmål],LEN(MasterTable[[#This Row],[Spørgsmål]])-1)&amp;"g",'3 Spørgeramme'!A:N,13,FALSE),Table_Modenhedsskala[Modenhedsgrad],0))</f>
        <v>#N/A</v>
      </c>
      <c r="L59" s="241" t="e">
        <f>INDEX(Table_Modenhedsskala[Nummer],MATCH(VLOOKUP(LEFT(MasterTable[Spørgsmål],LEN(MasterTable[[#This Row],[Spørgsmål]])-1)&amp;"h",'3 Spørgeramme'!A:N,13,FALSE),Table_Modenhedsskala[Modenhedsgrad],0))</f>
        <v>#N/A</v>
      </c>
      <c r="O59" s="22"/>
      <c r="P59" s="22"/>
      <c r="Q59" s="22"/>
      <c r="S59" s="22"/>
    </row>
    <row r="60" spans="1:19" x14ac:dyDescent="0.25">
      <c r="A60" s="96" t="str">
        <f t="shared" si="10"/>
        <v/>
      </c>
      <c r="B60" s="96" t="str">
        <f t="shared" si="11"/>
        <v/>
      </c>
      <c r="C60" s="96" t="str">
        <f t="shared" si="12"/>
        <v/>
      </c>
      <c r="D60" s="96" t="str">
        <f t="shared" si="13"/>
        <v/>
      </c>
      <c r="E60" s="97" t="str">
        <f t="shared" si="14"/>
        <v/>
      </c>
      <c r="F60" s="148" t="str">
        <f>VLOOKUP(LEFT(MasterTable[[#All],[Spørgsmål]],LEN(MasterTable[[#This Row],[Spørgsmål]])-1),Table_Questions[#All],2,FALSE)</f>
        <v>Ikke angivet</v>
      </c>
      <c r="G60" s="50" t="str">
        <f>ROUNDUP(ROW(S_InputArk!$N59)/6,0)&amp;"."&amp;CHOOSE(IF(MOD(ROW(S_InputArk!$N59),6)=0,6,MOD(ROW(S_InputArk!$N59),6)),"a","b","c","d","e","f")</f>
        <v>10.e</v>
      </c>
      <c r="H60" s="96">
        <f>VLOOKUP(MasterTable[[#This Row],[Spørgsmål]],S_Lookupsheet!AT:AV,3,FALSE)</f>
        <v>0</v>
      </c>
      <c r="I60" s="50" t="e">
        <f>INDEX(Table_Modenhedsskala[Nummer],MATCH(VLOOKUP(MasterTable[Spørgsmål],'3 Spørgeramme'!A:N,13,FALSE),Table_Modenhedsskala[Modenhedsgrad],0))</f>
        <v>#N/A</v>
      </c>
      <c r="J60" s="52">
        <f>VLOOKUP(LEFT(MasterTable[[#All],[Spørgsmål]],LEN(MasterTable[[#This Row],[Spørgsmål]])-1),Table_Questions[#All],5,FALSE)</f>
        <v>4</v>
      </c>
      <c r="K60" s="52" t="e">
        <f>INDEX(Table_Modenhedsskala[Nummer],MATCH(VLOOKUP(LEFT(MasterTable[Spørgsmål],LEN(MasterTable[[#This Row],[Spørgsmål]])-1)&amp;"g",'3 Spørgeramme'!A:N,13,FALSE),Table_Modenhedsskala[Modenhedsgrad],0))</f>
        <v>#N/A</v>
      </c>
      <c r="L60" s="241" t="e">
        <f>INDEX(Table_Modenhedsskala[Nummer],MATCH(VLOOKUP(LEFT(MasterTable[Spørgsmål],LEN(MasterTable[[#This Row],[Spørgsmål]])-1)&amp;"h",'3 Spørgeramme'!A:N,13,FALSE),Table_Modenhedsskala[Modenhedsgrad],0))</f>
        <v>#N/A</v>
      </c>
      <c r="O60" s="22"/>
      <c r="P60" s="22"/>
      <c r="Q60" s="22"/>
      <c r="S60" s="22"/>
    </row>
    <row r="61" spans="1:19" x14ac:dyDescent="0.25">
      <c r="A61" s="96" t="str">
        <f t="shared" si="10"/>
        <v/>
      </c>
      <c r="B61" s="96" t="str">
        <f t="shared" si="11"/>
        <v/>
      </c>
      <c r="C61" s="96" t="str">
        <f t="shared" si="12"/>
        <v/>
      </c>
      <c r="D61" s="96" t="str">
        <f t="shared" si="13"/>
        <v/>
      </c>
      <c r="E61" s="97" t="str">
        <f t="shared" si="14"/>
        <v/>
      </c>
      <c r="F61" s="148" t="str">
        <f>VLOOKUP(LEFT(MasterTable[[#All],[Spørgsmål]],LEN(MasterTable[[#This Row],[Spørgsmål]])-1),Table_Questions[#All],2,FALSE)</f>
        <v>Ikke angivet</v>
      </c>
      <c r="G61" s="50" t="str">
        <f>ROUNDUP(ROW(S_InputArk!$N60)/6,0)&amp;"."&amp;CHOOSE(IF(MOD(ROW(S_InputArk!$N60),6)=0,6,MOD(ROW(S_InputArk!$N60),6)),"a","b","c","d","e","f")</f>
        <v>10.f</v>
      </c>
      <c r="H61" s="96">
        <f>VLOOKUP(MasterTable[[#This Row],[Spørgsmål]],S_Lookupsheet!AT:AV,3,FALSE)</f>
        <v>0</v>
      </c>
      <c r="I61" s="50" t="e">
        <f>INDEX(Table_Modenhedsskala[Nummer],MATCH(VLOOKUP(MasterTable[Spørgsmål],'3 Spørgeramme'!A:N,13,FALSE),Table_Modenhedsskala[Modenhedsgrad],0))</f>
        <v>#N/A</v>
      </c>
      <c r="J61" s="52">
        <f>VLOOKUP(LEFT(MasterTable[[#All],[Spørgsmål]],LEN(MasterTable[[#This Row],[Spørgsmål]])-1),Table_Questions[#All],5,FALSE)</f>
        <v>4</v>
      </c>
      <c r="K61" s="52" t="e">
        <f>INDEX(Table_Modenhedsskala[Nummer],MATCH(VLOOKUP(LEFT(MasterTable[Spørgsmål],LEN(MasterTable[[#This Row],[Spørgsmål]])-1)&amp;"g",'3 Spørgeramme'!A:N,13,FALSE),Table_Modenhedsskala[Modenhedsgrad],0))</f>
        <v>#N/A</v>
      </c>
      <c r="L61" s="241" t="e">
        <f>INDEX(Table_Modenhedsskala[Nummer],MATCH(VLOOKUP(LEFT(MasterTable[Spørgsmål],LEN(MasterTable[[#This Row],[Spørgsmål]])-1)&amp;"h",'3 Spørgeramme'!A:N,13,FALSE),Table_Modenhedsskala[Modenhedsgrad],0))</f>
        <v>#N/A</v>
      </c>
      <c r="O61" s="22"/>
      <c r="P61" s="22"/>
      <c r="Q61" s="22"/>
      <c r="S61" s="22"/>
    </row>
    <row r="62" spans="1:19" x14ac:dyDescent="0.25">
      <c r="N62" s="22"/>
      <c r="O62" s="22"/>
      <c r="P62" s="22"/>
      <c r="R62" s="22"/>
    </row>
    <row r="63" spans="1:19" x14ac:dyDescent="0.25">
      <c r="N63" s="22"/>
      <c r="O63" s="22"/>
      <c r="P63" s="22"/>
      <c r="R63" s="22"/>
    </row>
    <row r="64" spans="1:19" x14ac:dyDescent="0.25">
      <c r="N64" s="22"/>
      <c r="O64" s="22"/>
      <c r="P64" s="22"/>
      <c r="R64" s="22"/>
    </row>
  </sheetData>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_Lookupsheet">
    <tabColor rgb="FF5F7F8F"/>
  </sheetPr>
  <dimension ref="B1:BO61"/>
  <sheetViews>
    <sheetView topLeftCell="AO1" zoomScale="70" zoomScaleNormal="70" workbookViewId="0">
      <selection activeCell="AV27" sqref="AV27"/>
    </sheetView>
  </sheetViews>
  <sheetFormatPr defaultRowHeight="15" x14ac:dyDescent="0.25"/>
  <cols>
    <col min="1" max="1" width="2.28515625" customWidth="1"/>
    <col min="2" max="2" width="32.42578125" customWidth="1"/>
    <col min="3" max="3" width="2.5703125" customWidth="1"/>
    <col min="4" max="4" width="24.7109375" customWidth="1"/>
    <col min="5" max="5" width="2.42578125" customWidth="1"/>
    <col min="6" max="6" width="25.28515625" customWidth="1"/>
    <col min="7" max="7" width="1.42578125" customWidth="1"/>
    <col min="8" max="8" width="35.85546875" customWidth="1"/>
    <col min="9" max="9" width="2.42578125" customWidth="1"/>
    <col min="10" max="10" width="19" customWidth="1"/>
    <col min="11" max="11" width="1.85546875" customWidth="1"/>
    <col min="12" max="12" width="17.140625" customWidth="1"/>
    <col min="13" max="13" width="1.28515625" customWidth="1"/>
    <col min="14" max="14" width="19.28515625" customWidth="1"/>
    <col min="15" max="15" width="1.5703125" customWidth="1"/>
    <col min="16" max="16" width="16.85546875" customWidth="1"/>
    <col min="17" max="17" width="2.28515625" customWidth="1"/>
    <col min="18" max="18" width="16" customWidth="1"/>
    <col min="19" max="19" width="2.42578125" customWidth="1"/>
    <col min="20" max="20" width="52.85546875" bestFit="1" customWidth="1"/>
    <col min="21" max="21" width="2.42578125" customWidth="1"/>
    <col min="22" max="22" width="16" customWidth="1"/>
    <col min="23" max="23" width="2.42578125" customWidth="1"/>
    <col min="24" max="24" width="16" customWidth="1"/>
    <col min="25" max="25" width="2.28515625" customWidth="1"/>
    <col min="26" max="26" width="16.85546875" customWidth="1"/>
    <col min="27" max="27" width="1.28515625" customWidth="1"/>
    <col min="28" max="28" width="28.28515625" customWidth="1"/>
    <col min="29" max="29" width="1.28515625" customWidth="1"/>
    <col min="30" max="30" width="17.140625" customWidth="1"/>
    <col min="31" max="31" width="1.7109375" customWidth="1"/>
    <col min="32" max="32" width="28.5703125" customWidth="1"/>
    <col min="33" max="33" width="2.28515625" customWidth="1"/>
    <col min="34" max="34" width="36.85546875" customWidth="1"/>
    <col min="35" max="35" width="2" customWidth="1"/>
    <col min="36" max="36" width="35.7109375" customWidth="1"/>
    <col min="37" max="37" width="1.5703125" customWidth="1"/>
    <col min="38" max="38" width="19.28515625" customWidth="1"/>
    <col min="39" max="39" width="2.140625" customWidth="1"/>
    <col min="40" max="40" width="36.42578125" customWidth="1"/>
    <col min="41" max="41" width="2.28515625" customWidth="1"/>
    <col min="42" max="42" width="21.42578125" customWidth="1"/>
    <col min="43" max="43" width="24.28515625" customWidth="1"/>
    <col min="44" max="44" width="1.42578125" customWidth="1"/>
    <col min="45" max="45" width="31" customWidth="1"/>
    <col min="46" max="46" width="5.85546875" customWidth="1"/>
    <col min="47" max="47" width="9.85546875" bestFit="1" customWidth="1"/>
    <col min="48" max="48" width="41.140625" customWidth="1"/>
    <col min="49" max="49" width="1.7109375" customWidth="1"/>
    <col min="50" max="50" width="10.7109375" bestFit="1" customWidth="1"/>
    <col min="51" max="51" width="17.28515625" bestFit="1" customWidth="1"/>
    <col min="52" max="52" width="4.5703125" customWidth="1"/>
    <col min="53" max="54" width="23.28515625" customWidth="1"/>
    <col min="55" max="55" width="12.85546875" customWidth="1"/>
    <col min="57" max="57" width="20.28515625" customWidth="1"/>
    <col min="59" max="59" width="36" customWidth="1"/>
    <col min="60" max="60" width="13.42578125" bestFit="1" customWidth="1"/>
    <col min="61" max="61" width="15.5703125" customWidth="1"/>
    <col min="62" max="62" width="12.42578125" customWidth="1"/>
    <col min="63" max="63" width="25.7109375" customWidth="1"/>
  </cols>
  <sheetData>
    <row r="1" spans="2:67" x14ac:dyDescent="0.25">
      <c r="B1" t="s">
        <v>67</v>
      </c>
      <c r="D1" t="s">
        <v>182</v>
      </c>
      <c r="F1" t="s">
        <v>335</v>
      </c>
      <c r="H1" t="s">
        <v>177</v>
      </c>
      <c r="J1" t="s">
        <v>68</v>
      </c>
      <c r="L1" t="s">
        <v>69</v>
      </c>
      <c r="N1" t="s">
        <v>179</v>
      </c>
      <c r="P1" t="s">
        <v>70</v>
      </c>
      <c r="R1" t="s">
        <v>332</v>
      </c>
      <c r="T1" t="s">
        <v>326</v>
      </c>
      <c r="V1" t="s">
        <v>330</v>
      </c>
      <c r="X1" t="s">
        <v>340</v>
      </c>
      <c r="Z1" t="s">
        <v>71</v>
      </c>
      <c r="AB1" t="s">
        <v>339</v>
      </c>
      <c r="AD1" t="s">
        <v>72</v>
      </c>
      <c r="AF1" t="s">
        <v>325</v>
      </c>
      <c r="AH1" t="s">
        <v>324</v>
      </c>
      <c r="AJ1" t="s">
        <v>180</v>
      </c>
      <c r="AL1" t="s">
        <v>73</v>
      </c>
      <c r="AN1" t="s">
        <v>181</v>
      </c>
      <c r="AP1" s="223" t="s">
        <v>346</v>
      </c>
      <c r="AQ1" t="s">
        <v>185</v>
      </c>
      <c r="AS1" t="s">
        <v>183</v>
      </c>
      <c r="AT1" t="s">
        <v>284</v>
      </c>
      <c r="AU1" t="s">
        <v>88</v>
      </c>
      <c r="AV1" t="s">
        <v>223</v>
      </c>
      <c r="AX1" t="s">
        <v>89</v>
      </c>
      <c r="AY1" t="s">
        <v>90</v>
      </c>
      <c r="AZ1" t="s">
        <v>127</v>
      </c>
      <c r="BA1" t="s">
        <v>365</v>
      </c>
      <c r="BB1" t="s">
        <v>183</v>
      </c>
      <c r="BC1" t="s">
        <v>166</v>
      </c>
      <c r="BE1" t="s">
        <v>3</v>
      </c>
      <c r="BG1" s="183" t="s">
        <v>84</v>
      </c>
      <c r="BH1" s="183" t="s">
        <v>313</v>
      </c>
      <c r="BI1" s="183" t="s">
        <v>314</v>
      </c>
      <c r="BJ1" s="251" t="s">
        <v>390</v>
      </c>
      <c r="BK1" s="266" t="s">
        <v>84</v>
      </c>
      <c r="BL1" s="266" t="s">
        <v>122</v>
      </c>
      <c r="BM1" s="267" t="s">
        <v>391</v>
      </c>
      <c r="BN1" s="267" t="s">
        <v>396</v>
      </c>
      <c r="BO1" s="267" t="s">
        <v>397</v>
      </c>
    </row>
    <row r="2" spans="2:67" x14ac:dyDescent="0.25">
      <c r="B2" t="s">
        <v>182</v>
      </c>
      <c r="D2" t="s">
        <v>361</v>
      </c>
      <c r="F2" t="s">
        <v>65</v>
      </c>
      <c r="H2" t="s">
        <v>22</v>
      </c>
      <c r="J2" t="s">
        <v>357</v>
      </c>
      <c r="L2" t="s">
        <v>356</v>
      </c>
      <c r="N2" t="s">
        <v>36</v>
      </c>
      <c r="P2" t="s">
        <v>43</v>
      </c>
      <c r="R2" t="s">
        <v>353</v>
      </c>
      <c r="T2" t="s">
        <v>66</v>
      </c>
      <c r="V2" t="s">
        <v>132</v>
      </c>
      <c r="X2" t="s">
        <v>341</v>
      </c>
      <c r="Z2" t="s">
        <v>134</v>
      </c>
      <c r="AB2" t="s">
        <v>157</v>
      </c>
      <c r="AD2" t="s">
        <v>161</v>
      </c>
      <c r="AF2" t="s">
        <v>178</v>
      </c>
      <c r="AH2" t="s">
        <v>58</v>
      </c>
      <c r="AJ2" t="s">
        <v>343</v>
      </c>
      <c r="AL2" t="s">
        <v>351</v>
      </c>
      <c r="AN2" t="s">
        <v>345</v>
      </c>
      <c r="AP2" s="224" t="s">
        <v>348</v>
      </c>
      <c r="AQ2" t="s">
        <v>350</v>
      </c>
      <c r="AT2" t="s">
        <v>224</v>
      </c>
      <c r="AU2" t="s">
        <v>76</v>
      </c>
      <c r="AV2" t="s">
        <v>216</v>
      </c>
      <c r="AX2">
        <v>1</v>
      </c>
      <c r="AY2" t="s">
        <v>4</v>
      </c>
      <c r="AZ2">
        <v>1</v>
      </c>
      <c r="BA2" t="s">
        <v>203</v>
      </c>
      <c r="BB2" s="219" t="e">
        <f>VLOOKUP('4 Opsummering'!BG2,S_Lookupsheet!DG:DI,3,FALSE)</f>
        <v>#N/A</v>
      </c>
      <c r="BC2" t="s">
        <v>165</v>
      </c>
      <c r="BE2" t="s">
        <v>167</v>
      </c>
      <c r="BG2" s="342" t="str">
        <f>S_InputArk!I5</f>
        <v>Organisationens kontekst</v>
      </c>
      <c r="BH2" t="e">
        <f>VLOOKUP(Table20[[#This Row],[Kolonne2]],S_Resultater!G:K,3,FALSE)</f>
        <v>#N/A</v>
      </c>
      <c r="BI2" t="e">
        <f>VLOOKUP(Table20[[#This Row],[Kolonne2]],S_Resultater!G:K,5,FALSE)</f>
        <v>#N/A</v>
      </c>
      <c r="BJ2">
        <f>VLOOKUP(Table20[[#This Row],[Kolonne2]],S_Resultater!G:L,6,FALSE)</f>
        <v>4</v>
      </c>
      <c r="BK2" s="268" t="str">
        <f>Table_Modenhedsskala[[#This Row],[Spørgeområder]]</f>
        <v>Organisationens kontekst</v>
      </c>
      <c r="BL2" s="268" t="e">
        <f>VLOOKUP(BK2,BG:BI,3,FALSE)</f>
        <v>#N/A</v>
      </c>
      <c r="BM2" s="268">
        <f>VLOOKUP(BK2,BG:BJ,4,FALSE)</f>
        <v>4</v>
      </c>
      <c r="BN2" s="268" t="e">
        <f>BM2-BL2</f>
        <v>#N/A</v>
      </c>
      <c r="BO2" s="268" t="e">
        <f>IF(BN2&lt;=0,"green",IF(BN2&gt;1,"red","yellow"))</f>
        <v>#N/A</v>
      </c>
    </row>
    <row r="3" spans="2:67" x14ac:dyDescent="0.25">
      <c r="B3" t="s">
        <v>335</v>
      </c>
      <c r="D3" t="s">
        <v>17</v>
      </c>
      <c r="F3" t="s">
        <v>360</v>
      </c>
      <c r="H3" t="s">
        <v>24</v>
      </c>
      <c r="J3" t="s">
        <v>25</v>
      </c>
      <c r="L3" t="s">
        <v>33</v>
      </c>
      <c r="N3" t="s">
        <v>37</v>
      </c>
      <c r="P3" t="s">
        <v>45</v>
      </c>
      <c r="T3" t="s">
        <v>32</v>
      </c>
      <c r="V3" t="s">
        <v>331</v>
      </c>
      <c r="Z3" t="s">
        <v>135</v>
      </c>
      <c r="AB3" t="s">
        <v>50</v>
      </c>
      <c r="AD3" t="s">
        <v>129</v>
      </c>
      <c r="AF3" t="s">
        <v>131</v>
      </c>
      <c r="AH3" t="s">
        <v>59</v>
      </c>
      <c r="AJ3" t="s">
        <v>342</v>
      </c>
      <c r="AN3" t="s">
        <v>63</v>
      </c>
      <c r="AP3" s="224" t="s">
        <v>347</v>
      </c>
      <c r="AQ3" t="s">
        <v>191</v>
      </c>
      <c r="AT3" t="s">
        <v>225</v>
      </c>
      <c r="AU3" t="s">
        <v>77</v>
      </c>
      <c r="AV3" t="s">
        <v>217</v>
      </c>
      <c r="AX3">
        <v>2</v>
      </c>
      <c r="AY3" t="s">
        <v>5</v>
      </c>
      <c r="AZ3">
        <v>2</v>
      </c>
      <c r="BA3" t="s">
        <v>209</v>
      </c>
      <c r="BB3" s="219" t="e">
        <f>VLOOKUP('4 Opsummering'!BG3,S_Lookupsheet!DG:DI,3,FALSE)</f>
        <v>#N/A</v>
      </c>
      <c r="BC3" t="s">
        <v>168</v>
      </c>
      <c r="BE3" t="s">
        <v>4</v>
      </c>
      <c r="BG3" s="344"/>
      <c r="BH3" t="e">
        <f>VLOOKUP(Table20[[#This Row],[Kolonne2]],S_Resultater!G:K,3,FALSE)</f>
        <v>#N/A</v>
      </c>
      <c r="BI3" t="e">
        <f>VLOOKUP(Table20[[#This Row],[Kolonne2]],S_Resultater!G:K,5,FALSE)</f>
        <v>#N/A</v>
      </c>
      <c r="BJ3">
        <f>VLOOKUP(Table20[[#This Row],[Kolonne2]],S_Resultater!G:L,6,FALSE)</f>
        <v>4</v>
      </c>
      <c r="BK3" s="268" t="str">
        <f>Table_Modenhedsskala[[#This Row],[Spørgeområder]]</f>
        <v>Lederskab</v>
      </c>
      <c r="BL3" s="268" t="e">
        <f t="shared" ref="BL3:BL10" si="0">VLOOKUP(BK3,BG:BI,3,FALSE)</f>
        <v>#N/A</v>
      </c>
      <c r="BM3" s="268">
        <f t="shared" ref="BM3:BM10" si="1">VLOOKUP(BK3,BG:BJ,4,FALSE)</f>
        <v>4</v>
      </c>
      <c r="BN3" s="268" t="e">
        <f t="shared" ref="BN3:BN10" si="2">BM3-BL3</f>
        <v>#N/A</v>
      </c>
      <c r="BO3" s="268" t="e">
        <f t="shared" ref="BO3:BO10" si="3">IF(BN3&lt;=0,"green",IF(BN3&gt;1,"red","yellow"))</f>
        <v>#N/A</v>
      </c>
    </row>
    <row r="4" spans="2:67" x14ac:dyDescent="0.25">
      <c r="B4" t="s">
        <v>177</v>
      </c>
      <c r="D4" t="s">
        <v>18</v>
      </c>
      <c r="F4" t="s">
        <v>193</v>
      </c>
      <c r="H4" s="137" t="s">
        <v>133</v>
      </c>
      <c r="J4" t="s">
        <v>26</v>
      </c>
      <c r="L4" t="s">
        <v>34</v>
      </c>
      <c r="N4" t="s">
        <v>146</v>
      </c>
      <c r="P4" t="s">
        <v>337</v>
      </c>
      <c r="T4" t="s">
        <v>327</v>
      </c>
      <c r="Z4" t="s">
        <v>136</v>
      </c>
      <c r="AB4" t="s">
        <v>51</v>
      </c>
      <c r="AD4" t="s">
        <v>159</v>
      </c>
      <c r="AF4" t="s">
        <v>334</v>
      </c>
      <c r="AH4" t="s">
        <v>328</v>
      </c>
      <c r="AN4" t="s">
        <v>344</v>
      </c>
      <c r="AP4" s="224" t="s">
        <v>52</v>
      </c>
      <c r="AQ4" t="s">
        <v>192</v>
      </c>
      <c r="AT4" t="s">
        <v>226</v>
      </c>
      <c r="AU4" t="s">
        <v>78</v>
      </c>
      <c r="AV4" t="s">
        <v>218</v>
      </c>
      <c r="AX4">
        <v>3</v>
      </c>
      <c r="AY4" t="s">
        <v>6</v>
      </c>
      <c r="AZ4">
        <v>3</v>
      </c>
      <c r="BA4" t="s">
        <v>210</v>
      </c>
      <c r="BB4" s="219" t="e">
        <f>VLOOKUP('4 Opsummering'!BG4,S_Lookupsheet!DG:DI,3,FALSE)</f>
        <v>#N/A</v>
      </c>
      <c r="BE4" t="s">
        <v>5</v>
      </c>
      <c r="BG4" s="344"/>
      <c r="BH4" s="184" t="e">
        <f>VLOOKUP(Table20[[#This Row],[Kolonne2]],S_Resultater!G:K,3,FALSE)</f>
        <v>#N/A</v>
      </c>
      <c r="BI4" t="e">
        <f>VLOOKUP(Table20[[#This Row],[Kolonne2]],S_Resultater!G:K,5,FALSE)</f>
        <v>#N/A</v>
      </c>
      <c r="BJ4">
        <f>VLOOKUP(Table20[[#This Row],[Kolonne2]],S_Resultater!G:L,6,FALSE)</f>
        <v>4</v>
      </c>
      <c r="BK4" s="268" t="str">
        <f>Table_Modenhedsskala[[#This Row],[Spørgeområder]]</f>
        <v>Planlægning</v>
      </c>
      <c r="BL4" s="268" t="e">
        <f t="shared" si="0"/>
        <v>#N/A</v>
      </c>
      <c r="BM4" s="268">
        <f t="shared" si="1"/>
        <v>4</v>
      </c>
      <c r="BN4" s="268" t="e">
        <f t="shared" si="2"/>
        <v>#N/A</v>
      </c>
      <c r="BO4" s="268" t="e">
        <f t="shared" si="3"/>
        <v>#N/A</v>
      </c>
    </row>
    <row r="5" spans="2:67" x14ac:dyDescent="0.25">
      <c r="B5" t="s">
        <v>68</v>
      </c>
      <c r="D5" t="s">
        <v>19</v>
      </c>
      <c r="F5" t="s">
        <v>359</v>
      </c>
      <c r="H5" t="s">
        <v>23</v>
      </c>
      <c r="J5" t="s">
        <v>31</v>
      </c>
      <c r="L5" t="s">
        <v>194</v>
      </c>
      <c r="N5" t="s">
        <v>355</v>
      </c>
      <c r="P5" t="s">
        <v>46</v>
      </c>
      <c r="Z5" t="s">
        <v>137</v>
      </c>
      <c r="AB5" t="s">
        <v>352</v>
      </c>
      <c r="AD5" t="s">
        <v>153</v>
      </c>
      <c r="AF5" t="s">
        <v>333</v>
      </c>
      <c r="AH5" t="s">
        <v>60</v>
      </c>
      <c r="AN5" t="s">
        <v>62</v>
      </c>
      <c r="AQ5" t="s">
        <v>186</v>
      </c>
      <c r="AT5" t="s">
        <v>227</v>
      </c>
      <c r="AU5" t="s">
        <v>85</v>
      </c>
      <c r="AV5" t="s">
        <v>219</v>
      </c>
      <c r="AX5">
        <v>4</v>
      </c>
      <c r="AY5" t="s">
        <v>7</v>
      </c>
      <c r="AZ5">
        <v>4</v>
      </c>
      <c r="BA5" t="s">
        <v>211</v>
      </c>
      <c r="BB5" s="219" t="e">
        <f>VLOOKUP('4 Opsummering'!BG5,S_Lookupsheet!DG:DI,3,FALSE)</f>
        <v>#N/A</v>
      </c>
      <c r="BE5" t="s">
        <v>6</v>
      </c>
      <c r="BG5" s="343"/>
      <c r="BH5" s="183" t="e">
        <f>VLOOKUP(Table20[[#This Row],[Kolonne2]],S_Resultater!G:K,3,FALSE)</f>
        <v>#N/A</v>
      </c>
      <c r="BI5" s="183" t="e">
        <f>VLOOKUP(Table20[[#This Row],[Kolonne2]],S_Resultater!G:K,5,FALSE)</f>
        <v>#N/A</v>
      </c>
      <c r="BJ5">
        <f>VLOOKUP(Table20[[#This Row],[Kolonne2]],S_Resultater!G:L,6,FALSE)</f>
        <v>4</v>
      </c>
      <c r="BK5" s="268" t="str">
        <f>Table_Modenhedsskala[[#This Row],[Spørgeområder]]</f>
        <v>Support</v>
      </c>
      <c r="BL5" s="268" t="e">
        <f t="shared" si="0"/>
        <v>#N/A</v>
      </c>
      <c r="BM5" s="268">
        <f t="shared" si="1"/>
        <v>4</v>
      </c>
      <c r="BN5" s="268" t="e">
        <f t="shared" si="2"/>
        <v>#N/A</v>
      </c>
      <c r="BO5" s="268" t="e">
        <f t="shared" si="3"/>
        <v>#N/A</v>
      </c>
    </row>
    <row r="6" spans="2:67" x14ac:dyDescent="0.25">
      <c r="B6" t="s">
        <v>69</v>
      </c>
      <c r="F6" t="s">
        <v>20</v>
      </c>
      <c r="H6" t="s">
        <v>21</v>
      </c>
      <c r="J6" t="s">
        <v>28</v>
      </c>
      <c r="L6" t="s">
        <v>190</v>
      </c>
      <c r="N6" t="s">
        <v>40</v>
      </c>
      <c r="P6" t="s">
        <v>47</v>
      </c>
      <c r="Z6" t="s">
        <v>138</v>
      </c>
      <c r="AD6" t="s">
        <v>349</v>
      </c>
      <c r="AF6" t="s">
        <v>55</v>
      </c>
      <c r="AH6" t="s">
        <v>154</v>
      </c>
      <c r="AQ6" t="s">
        <v>64</v>
      </c>
      <c r="AT6" t="s">
        <v>228</v>
      </c>
      <c r="AU6" t="s">
        <v>86</v>
      </c>
      <c r="AV6" s="177" t="s">
        <v>214</v>
      </c>
      <c r="AX6">
        <v>5</v>
      </c>
      <c r="AY6" t="s">
        <v>14</v>
      </c>
      <c r="AZ6">
        <v>5</v>
      </c>
      <c r="BA6" t="s">
        <v>312</v>
      </c>
      <c r="BB6" s="219" t="e">
        <f>VLOOKUP('4 Opsummering'!BG6,S_Lookupsheet!DG:DI,3,FALSE)</f>
        <v>#N/A</v>
      </c>
      <c r="BE6" t="s">
        <v>7</v>
      </c>
      <c r="BG6" s="177" t="s">
        <v>123</v>
      </c>
      <c r="BH6" s="177" t="e">
        <f>VLOOKUP(Table20[[#This Row],[Kolonne2]],S_Resultater!G:K,3,FALSE)</f>
        <v>#N/A</v>
      </c>
      <c r="BI6" s="177" t="e">
        <f>VLOOKUP(Table20[[#This Row],[Kolonne2]],S_Resultater!G:K,5,FALSE)</f>
        <v>#N/A</v>
      </c>
      <c r="BJ6">
        <f>VLOOKUP(Table20[[#This Row],[Kolonne2]],S_Resultater!G:L,6,FALSE)</f>
        <v>4</v>
      </c>
      <c r="BK6" s="268" t="str">
        <f>Table_Modenhedsskala[[#This Row],[Spørgeområder]]</f>
        <v xml:space="preserve">Drift </v>
      </c>
      <c r="BL6" s="268" t="e">
        <f t="shared" si="0"/>
        <v>#N/A</v>
      </c>
      <c r="BM6" s="268">
        <f t="shared" si="1"/>
        <v>4</v>
      </c>
      <c r="BN6" s="268" t="e">
        <f t="shared" si="2"/>
        <v>#N/A</v>
      </c>
      <c r="BO6" s="268" t="e">
        <f t="shared" si="3"/>
        <v>#N/A</v>
      </c>
    </row>
    <row r="7" spans="2:67" x14ac:dyDescent="0.25">
      <c r="B7" t="s">
        <v>179</v>
      </c>
      <c r="H7" t="s">
        <v>358</v>
      </c>
      <c r="J7" t="s">
        <v>29</v>
      </c>
      <c r="N7" t="s">
        <v>38</v>
      </c>
      <c r="P7" t="s">
        <v>354</v>
      </c>
      <c r="Z7" t="s">
        <v>147</v>
      </c>
      <c r="AD7" t="s">
        <v>158</v>
      </c>
      <c r="AF7" t="s">
        <v>162</v>
      </c>
      <c r="AH7" t="s">
        <v>155</v>
      </c>
      <c r="AT7" t="s">
        <v>229</v>
      </c>
      <c r="AU7" t="s">
        <v>87</v>
      </c>
      <c r="AV7" s="177" t="s">
        <v>214</v>
      </c>
      <c r="BA7" t="s">
        <v>212</v>
      </c>
      <c r="BB7" s="219" t="e">
        <f>VLOOKUP('4 Opsummering'!BG7,S_Lookupsheet!DG:DI,3,FALSE)</f>
        <v>#N/A</v>
      </c>
      <c r="BE7" t="s">
        <v>14</v>
      </c>
      <c r="BG7" s="214" t="s">
        <v>123</v>
      </c>
      <c r="BH7" s="214" t="e">
        <f>VLOOKUP(Table20[[#This Row],[Kolonne2]],S_Resultater!G:K,3,FALSE)</f>
        <v>#N/A</v>
      </c>
      <c r="BI7" s="214" t="e">
        <f>VLOOKUP(Table20[[#This Row],[Kolonne2]],S_Resultater!G:K,5,FALSE)</f>
        <v>#N/A</v>
      </c>
      <c r="BJ7">
        <f>VLOOKUP(Table20[[#This Row],[Kolonne2]],S_Resultater!G:L,6,FALSE)</f>
        <v>4</v>
      </c>
      <c r="BK7" s="268" t="str">
        <f>Table_Modenhedsskala[[#This Row],[Spørgeområder]]</f>
        <v>Evaluering</v>
      </c>
      <c r="BL7" s="268" t="e">
        <f t="shared" si="0"/>
        <v>#N/A</v>
      </c>
      <c r="BM7" s="268">
        <f t="shared" si="1"/>
        <v>4</v>
      </c>
      <c r="BN7" s="268" t="e">
        <f t="shared" si="2"/>
        <v>#N/A</v>
      </c>
      <c r="BO7" s="268" t="e">
        <f t="shared" si="3"/>
        <v>#N/A</v>
      </c>
    </row>
    <row r="8" spans="2:67" x14ac:dyDescent="0.25">
      <c r="B8" t="s">
        <v>70</v>
      </c>
      <c r="H8" t="s">
        <v>145</v>
      </c>
      <c r="J8" t="s">
        <v>30</v>
      </c>
      <c r="N8" t="s">
        <v>39</v>
      </c>
      <c r="P8" t="s">
        <v>44</v>
      </c>
      <c r="Z8" t="s">
        <v>149</v>
      </c>
      <c r="AD8" t="s">
        <v>53</v>
      </c>
      <c r="AF8" t="s">
        <v>56</v>
      </c>
      <c r="AH8" t="s">
        <v>156</v>
      </c>
      <c r="AT8" t="s">
        <v>230</v>
      </c>
      <c r="AU8" t="s">
        <v>76</v>
      </c>
      <c r="AV8" t="s">
        <v>220</v>
      </c>
      <c r="BA8" t="s">
        <v>213</v>
      </c>
      <c r="BB8" s="219" t="e">
        <f>VLOOKUP('4 Opsummering'!BG8,S_Lookupsheet!DG:DI,3,FALSE)</f>
        <v>#N/A</v>
      </c>
      <c r="BG8" s="342" t="str">
        <f>S_InputArk!I6</f>
        <v>Lederskab</v>
      </c>
      <c r="BH8" t="e">
        <f>VLOOKUP(Table20[[#This Row],[Kolonne2]],S_Resultater!G:K,3,FALSE)</f>
        <v>#N/A</v>
      </c>
      <c r="BI8" t="e">
        <f>VLOOKUP(Table20[[#This Row],[Kolonne2]],S_Resultater!G:K,5,FALSE)</f>
        <v>#N/A</v>
      </c>
      <c r="BJ8">
        <f>VLOOKUP(Table20[[#This Row],[Kolonne2]],S_Resultater!G:L,6,FALSE)</f>
        <v>4</v>
      </c>
      <c r="BK8" s="268" t="str">
        <f>Table_Modenhedsskala[[#This Row],[Spørgeområder]]</f>
        <v>Løbende forbedringer</v>
      </c>
      <c r="BL8" s="268" t="e">
        <f t="shared" si="0"/>
        <v>#N/A</v>
      </c>
      <c r="BM8" s="268">
        <f t="shared" si="1"/>
        <v>4</v>
      </c>
      <c r="BN8" s="268" t="e">
        <f t="shared" si="2"/>
        <v>#N/A</v>
      </c>
      <c r="BO8" s="268" t="e">
        <f t="shared" si="3"/>
        <v>#N/A</v>
      </c>
    </row>
    <row r="9" spans="2:67" x14ac:dyDescent="0.25">
      <c r="B9" t="s">
        <v>332</v>
      </c>
      <c r="H9" t="s">
        <v>336</v>
      </c>
      <c r="J9" t="s">
        <v>27</v>
      </c>
      <c r="N9" t="s">
        <v>41</v>
      </c>
      <c r="P9" t="s">
        <v>42</v>
      </c>
      <c r="Z9" t="s">
        <v>150</v>
      </c>
      <c r="AD9" t="s">
        <v>128</v>
      </c>
      <c r="AF9" t="s">
        <v>56</v>
      </c>
      <c r="AH9" t="s">
        <v>329</v>
      </c>
      <c r="AT9" t="s">
        <v>231</v>
      </c>
      <c r="AU9" t="s">
        <v>77</v>
      </c>
      <c r="AV9" t="s">
        <v>221</v>
      </c>
      <c r="BA9" t="s">
        <v>124</v>
      </c>
      <c r="BB9" s="219" t="e">
        <f>VLOOKUP('4 Opsummering'!BG9,S_Lookupsheet!DG:DI,3,FALSE)</f>
        <v>#N/A</v>
      </c>
      <c r="BG9" s="344"/>
      <c r="BH9" t="e">
        <f>VLOOKUP(Table20[[#This Row],[Kolonne2]],S_Resultater!G:K,3,FALSE)</f>
        <v>#N/A</v>
      </c>
      <c r="BI9" t="e">
        <f>VLOOKUP(Table20[[#This Row],[Kolonne2]],S_Resultater!G:K,5,FALSE)</f>
        <v>#N/A</v>
      </c>
      <c r="BJ9">
        <f>VLOOKUP(Table20[[#This Row],[Kolonne2]],S_Resultater!G:L,6,FALSE)</f>
        <v>4</v>
      </c>
      <c r="BK9" s="268" t="str">
        <f>Table_Modenhedsskala[[#This Row],[Spørgeområder]]</f>
        <v>Leverandørstyring</v>
      </c>
      <c r="BL9" s="268" t="e">
        <f t="shared" si="0"/>
        <v>#N/A</v>
      </c>
      <c r="BM9" s="268">
        <f t="shared" si="1"/>
        <v>4</v>
      </c>
      <c r="BN9" s="268" t="e">
        <f t="shared" si="2"/>
        <v>#N/A</v>
      </c>
      <c r="BO9" s="268" t="e">
        <f t="shared" si="3"/>
        <v>#N/A</v>
      </c>
    </row>
    <row r="10" spans="2:67" x14ac:dyDescent="0.25">
      <c r="B10" t="s">
        <v>71</v>
      </c>
      <c r="N10" t="s">
        <v>35</v>
      </c>
      <c r="P10" t="s">
        <v>338</v>
      </c>
      <c r="Z10" t="s">
        <v>151</v>
      </c>
      <c r="AD10" t="s">
        <v>160</v>
      </c>
      <c r="AF10" t="s">
        <v>57</v>
      </c>
      <c r="AH10" t="s">
        <v>61</v>
      </c>
      <c r="AT10" t="s">
        <v>232</v>
      </c>
      <c r="AU10" t="s">
        <v>78</v>
      </c>
      <c r="AV10" t="s">
        <v>222</v>
      </c>
      <c r="BA10" t="s">
        <v>364</v>
      </c>
      <c r="BB10" s="219" t="e">
        <f>VLOOKUP('4 Opsummering'!BG10,S_Lookupsheet!DG:DI,3,FALSE)</f>
        <v>#N/A</v>
      </c>
      <c r="BG10" s="343"/>
      <c r="BH10" s="183" t="e">
        <f>VLOOKUP(Table20[[#This Row],[Kolonne2]],S_Resultater!G:K,3,FALSE)</f>
        <v>#N/A</v>
      </c>
      <c r="BI10" s="183" t="e">
        <f>VLOOKUP(Table20[[#This Row],[Kolonne2]],S_Resultater!G:K,5,FALSE)</f>
        <v>#N/A</v>
      </c>
      <c r="BJ10">
        <f>VLOOKUP(Table20[[#This Row],[Kolonne2]],S_Resultater!G:L,6,FALSE)</f>
        <v>4</v>
      </c>
      <c r="BK10" s="268" t="str">
        <f>Table_Modenhedsskala[[#This Row],[Spørgeområder]]</f>
        <v>Beredskabsplaner</v>
      </c>
      <c r="BL10" s="268" t="e">
        <f t="shared" si="0"/>
        <v>#N/A</v>
      </c>
      <c r="BM10" s="268">
        <f t="shared" si="1"/>
        <v>4</v>
      </c>
      <c r="BN10" s="268" t="e">
        <f t="shared" si="2"/>
        <v>#N/A</v>
      </c>
      <c r="BO10" s="268" t="e">
        <f t="shared" si="3"/>
        <v>#N/A</v>
      </c>
    </row>
    <row r="11" spans="2:67" x14ac:dyDescent="0.25">
      <c r="B11" t="s">
        <v>339</v>
      </c>
      <c r="Z11" t="s">
        <v>184</v>
      </c>
      <c r="AD11" t="s">
        <v>130</v>
      </c>
      <c r="AF11" t="s">
        <v>54</v>
      </c>
      <c r="AT11" t="s">
        <v>233</v>
      </c>
      <c r="AU11" t="s">
        <v>85</v>
      </c>
      <c r="AV11" s="177" t="s">
        <v>214</v>
      </c>
      <c r="BG11" s="177" t="s">
        <v>123</v>
      </c>
      <c r="BH11" s="177" t="e">
        <f>VLOOKUP(Table20[[#This Row],[Kolonne2]],S_Resultater!G:K,3,FALSE)</f>
        <v>#N/A</v>
      </c>
      <c r="BI11" s="177" t="e">
        <f>VLOOKUP(Table20[[#This Row],[Kolonne2]],S_Resultater!G:K,5,FALSE)</f>
        <v>#N/A</v>
      </c>
      <c r="BJ11">
        <f>VLOOKUP(Table20[[#This Row],[Kolonne2]],S_Resultater!G:L,6,FALSE)</f>
        <v>4</v>
      </c>
    </row>
    <row r="12" spans="2:67" x14ac:dyDescent="0.25">
      <c r="B12" t="s">
        <v>72</v>
      </c>
      <c r="Z12" t="s">
        <v>139</v>
      </c>
      <c r="AT12" t="s">
        <v>234</v>
      </c>
      <c r="AU12" t="s">
        <v>86</v>
      </c>
      <c r="AV12" s="177" t="s">
        <v>214</v>
      </c>
      <c r="BG12" s="177" t="s">
        <v>123</v>
      </c>
      <c r="BH12" s="177" t="e">
        <f>VLOOKUP(Table20[[#This Row],[Kolonne2]],S_Resultater!G:K,3,FALSE)</f>
        <v>#N/A</v>
      </c>
      <c r="BI12" s="177" t="e">
        <f>VLOOKUP(Table20[[#This Row],[Kolonne2]],S_Resultater!G:K,5,FALSE)</f>
        <v>#N/A</v>
      </c>
      <c r="BJ12">
        <f>VLOOKUP(Table20[[#This Row],[Kolonne2]],S_Resultater!G:L,6,FALSE)</f>
        <v>4</v>
      </c>
    </row>
    <row r="13" spans="2:67" x14ac:dyDescent="0.25">
      <c r="B13" t="s">
        <v>325</v>
      </c>
      <c r="Z13" t="s">
        <v>48</v>
      </c>
      <c r="AT13" t="s">
        <v>235</v>
      </c>
      <c r="AU13" t="s">
        <v>87</v>
      </c>
      <c r="AV13" s="177" t="s">
        <v>214</v>
      </c>
      <c r="BG13" s="214" t="s">
        <v>123</v>
      </c>
      <c r="BH13" s="214" t="e">
        <f>VLOOKUP(Table20[[#This Row],[Kolonne2]],S_Resultater!G:K,3,FALSE)</f>
        <v>#N/A</v>
      </c>
      <c r="BI13" s="214" t="e">
        <f>VLOOKUP(Table20[[#This Row],[Kolonne2]],S_Resultater!G:K,5,FALSE)</f>
        <v>#N/A</v>
      </c>
      <c r="BJ13">
        <f>VLOOKUP(Table20[[#This Row],[Kolonne2]],S_Resultater!G:L,6,FALSE)</f>
        <v>4</v>
      </c>
    </row>
    <row r="14" spans="2:67" x14ac:dyDescent="0.25">
      <c r="B14" t="s">
        <v>163</v>
      </c>
      <c r="Z14" t="s">
        <v>140</v>
      </c>
      <c r="AT14" t="s">
        <v>236</v>
      </c>
      <c r="AU14" t="s">
        <v>76</v>
      </c>
      <c r="AV14" t="s">
        <v>459</v>
      </c>
      <c r="BG14" s="342" t="str">
        <f>S_InputArk!I7</f>
        <v>Planlægning</v>
      </c>
      <c r="BH14" t="e">
        <f>VLOOKUP(Table20[[#This Row],[Kolonne2]],S_Resultater!G:K,3,FALSE)</f>
        <v>#N/A</v>
      </c>
      <c r="BI14" t="e">
        <f>VLOOKUP(Table20[[#This Row],[Kolonne2]],S_Resultater!G:K,5,FALSE)</f>
        <v>#N/A</v>
      </c>
      <c r="BJ14">
        <f>VLOOKUP(Table20[[#This Row],[Kolonne2]],S_Resultater!G:L,6,FALSE)</f>
        <v>4</v>
      </c>
    </row>
    <row r="15" spans="2:67" x14ac:dyDescent="0.25">
      <c r="B15" t="s">
        <v>324</v>
      </c>
      <c r="Z15" t="s">
        <v>152</v>
      </c>
      <c r="AT15" t="s">
        <v>237</v>
      </c>
      <c r="AU15" t="s">
        <v>77</v>
      </c>
      <c r="AV15" t="s">
        <v>285</v>
      </c>
      <c r="BG15" s="344"/>
      <c r="BH15" t="e">
        <f>VLOOKUP(Table20[[#This Row],[Kolonne2]],S_Resultater!G:K,3,FALSE)</f>
        <v>#N/A</v>
      </c>
      <c r="BI15" t="e">
        <f>VLOOKUP(Table20[[#This Row],[Kolonne2]],S_Resultater!G:K,5,FALSE)</f>
        <v>#N/A</v>
      </c>
      <c r="BJ15">
        <f>VLOOKUP(Table20[[#This Row],[Kolonne2]],S_Resultater!G:L,6,FALSE)</f>
        <v>4</v>
      </c>
    </row>
    <row r="16" spans="2:67" x14ac:dyDescent="0.25">
      <c r="B16" t="s">
        <v>180</v>
      </c>
      <c r="Z16" t="s">
        <v>141</v>
      </c>
      <c r="AT16" t="s">
        <v>238</v>
      </c>
      <c r="AU16" t="s">
        <v>78</v>
      </c>
      <c r="AV16" t="s">
        <v>286</v>
      </c>
      <c r="BG16" s="344"/>
      <c r="BH16" t="e">
        <f>VLOOKUP(Table20[[#This Row],[Kolonne2]],S_Resultater!G:K,3,FALSE)</f>
        <v>#N/A</v>
      </c>
      <c r="BI16" t="e">
        <f>VLOOKUP(Table20[[#This Row],[Kolonne2]],S_Resultater!G:K,5,FALSE)</f>
        <v>#N/A</v>
      </c>
      <c r="BJ16">
        <f>VLOOKUP(Table20[[#This Row],[Kolonne2]],S_Resultater!G:L,6,FALSE)</f>
        <v>4</v>
      </c>
    </row>
    <row r="17" spans="2:62" x14ac:dyDescent="0.25">
      <c r="B17" t="s">
        <v>73</v>
      </c>
      <c r="Z17" t="s">
        <v>148</v>
      </c>
      <c r="AT17" t="s">
        <v>239</v>
      </c>
      <c r="AU17" t="s">
        <v>85</v>
      </c>
      <c r="AV17" t="s">
        <v>287</v>
      </c>
      <c r="BG17" s="344"/>
      <c r="BH17" t="e">
        <f>VLOOKUP(Table20[[#This Row],[Kolonne2]],S_Resultater!G:K,3,FALSE)</f>
        <v>#N/A</v>
      </c>
      <c r="BI17" t="e">
        <f>VLOOKUP(Table20[[#This Row],[Kolonne2]],S_Resultater!G:K,5,FALSE)</f>
        <v>#N/A</v>
      </c>
      <c r="BJ17">
        <f>VLOOKUP(Table20[[#This Row],[Kolonne2]],S_Resultater!G:L,6,FALSE)</f>
        <v>4</v>
      </c>
    </row>
    <row r="18" spans="2:62" x14ac:dyDescent="0.25">
      <c r="B18" t="s">
        <v>181</v>
      </c>
      <c r="Z18" t="s">
        <v>142</v>
      </c>
      <c r="AT18" t="s">
        <v>240</v>
      </c>
      <c r="AU18" t="s">
        <v>86</v>
      </c>
      <c r="AV18" t="s">
        <v>474</v>
      </c>
      <c r="BG18" s="344"/>
      <c r="BH18" t="e">
        <f>VLOOKUP(Table20[[#This Row],[Kolonne2]],S_Resultater!G:K,3,FALSE)</f>
        <v>#N/A</v>
      </c>
      <c r="BI18" t="e">
        <f>VLOOKUP(Table20[[#This Row],[Kolonne2]],S_Resultater!G:K,5,FALSE)</f>
        <v>#N/A</v>
      </c>
      <c r="BJ18">
        <f>VLOOKUP(Table20[[#This Row],[Kolonne2]],S_Resultater!G:L,6,FALSE)</f>
        <v>4</v>
      </c>
    </row>
    <row r="19" spans="2:62" x14ac:dyDescent="0.25">
      <c r="B19" t="s">
        <v>185</v>
      </c>
      <c r="Z19" t="s">
        <v>49</v>
      </c>
      <c r="AT19" t="s">
        <v>241</v>
      </c>
      <c r="AU19" t="s">
        <v>87</v>
      </c>
      <c r="AV19" t="s">
        <v>288</v>
      </c>
      <c r="BG19" s="343"/>
      <c r="BH19" s="183" t="e">
        <f>VLOOKUP(Table20[[#This Row],[Kolonne2]],S_Resultater!G:K,3,FALSE)</f>
        <v>#N/A</v>
      </c>
      <c r="BI19" s="183" t="e">
        <f>VLOOKUP(Table20[[#This Row],[Kolonne2]],S_Resultater!G:K,5,FALSE)</f>
        <v>#N/A</v>
      </c>
      <c r="BJ19">
        <f>VLOOKUP(Table20[[#This Row],[Kolonne2]],S_Resultater!G:L,6,FALSE)</f>
        <v>4</v>
      </c>
    </row>
    <row r="20" spans="2:62" x14ac:dyDescent="0.25">
      <c r="B20" t="s">
        <v>326</v>
      </c>
      <c r="Z20" t="s">
        <v>143</v>
      </c>
      <c r="AT20" t="s">
        <v>242</v>
      </c>
      <c r="AU20" t="s">
        <v>76</v>
      </c>
      <c r="AV20" t="s">
        <v>289</v>
      </c>
      <c r="BG20" s="342" t="str">
        <f>S_InputArk!I8</f>
        <v>Support</v>
      </c>
      <c r="BH20" t="e">
        <f>VLOOKUP(Table20[[#This Row],[Kolonne2]],S_Resultater!G:K,3,FALSE)</f>
        <v>#N/A</v>
      </c>
      <c r="BI20" t="e">
        <f>VLOOKUP(Table20[[#This Row],[Kolonne2]],S_Resultater!G:K,5,FALSE)</f>
        <v>#N/A</v>
      </c>
      <c r="BJ20">
        <f>VLOOKUP(Table20[[#This Row],[Kolonne2]],S_Resultater!G:L,6,FALSE)</f>
        <v>4</v>
      </c>
    </row>
    <row r="21" spans="2:62" x14ac:dyDescent="0.25">
      <c r="B21" t="s">
        <v>330</v>
      </c>
      <c r="Z21" t="s">
        <v>144</v>
      </c>
      <c r="AT21" t="s">
        <v>243</v>
      </c>
      <c r="AU21" t="s">
        <v>77</v>
      </c>
      <c r="AV21" t="s">
        <v>290</v>
      </c>
      <c r="BG21" s="344"/>
      <c r="BH21" t="e">
        <f>VLOOKUP(Table20[[#This Row],[Kolonne2]],S_Resultater!G:K,3,FALSE)</f>
        <v>#N/A</v>
      </c>
      <c r="BI21" t="e">
        <f>VLOOKUP(Table20[[#This Row],[Kolonne2]],S_Resultater!G:K,5,FALSE)</f>
        <v>#N/A</v>
      </c>
      <c r="BJ21">
        <f>VLOOKUP(Table20[[#This Row],[Kolonne2]],S_Resultater!G:L,6,FALSE)</f>
        <v>4</v>
      </c>
    </row>
    <row r="22" spans="2:62" x14ac:dyDescent="0.25">
      <c r="B22" t="s">
        <v>340</v>
      </c>
      <c r="AT22" t="s">
        <v>244</v>
      </c>
      <c r="AU22" t="s">
        <v>78</v>
      </c>
      <c r="AV22" t="s">
        <v>291</v>
      </c>
      <c r="BG22" s="344"/>
      <c r="BH22" t="e">
        <f>VLOOKUP(Table20[[#This Row],[Kolonne2]],S_Resultater!G:K,3,FALSE)</f>
        <v>#N/A</v>
      </c>
      <c r="BI22" t="e">
        <f>VLOOKUP(Table20[[#This Row],[Kolonne2]],S_Resultater!G:K,5,FALSE)</f>
        <v>#N/A</v>
      </c>
      <c r="BJ22">
        <f>VLOOKUP(Table20[[#This Row],[Kolonne2]],S_Resultater!G:L,6,FALSE)</f>
        <v>4</v>
      </c>
    </row>
    <row r="23" spans="2:62" x14ac:dyDescent="0.25">
      <c r="B23" t="s">
        <v>346</v>
      </c>
      <c r="AT23" t="s">
        <v>245</v>
      </c>
      <c r="AU23" t="s">
        <v>85</v>
      </c>
      <c r="AV23" t="s">
        <v>292</v>
      </c>
      <c r="BG23" s="344"/>
      <c r="BH23" t="e">
        <f>VLOOKUP(Table20[[#This Row],[Kolonne2]],S_Resultater!G:K,3,FALSE)</f>
        <v>#N/A</v>
      </c>
      <c r="BI23" t="e">
        <f>VLOOKUP(Table20[[#This Row],[Kolonne2]],S_Resultater!G:K,5,FALSE)</f>
        <v>#N/A</v>
      </c>
      <c r="BJ23">
        <f>VLOOKUP(Table20[[#This Row],[Kolonne2]],S_Resultater!G:L,6,FALSE)</f>
        <v>4</v>
      </c>
    </row>
    <row r="24" spans="2:62" x14ac:dyDescent="0.25">
      <c r="AT24" t="s">
        <v>246</v>
      </c>
      <c r="AU24" t="s">
        <v>86</v>
      </c>
      <c r="AV24" t="s">
        <v>293</v>
      </c>
      <c r="BG24" s="343"/>
      <c r="BH24" t="e">
        <f>VLOOKUP(Table20[[#This Row],[Kolonne2]],S_Resultater!G:K,3,FALSE)</f>
        <v>#N/A</v>
      </c>
      <c r="BI24" t="e">
        <f>VLOOKUP(Table20[[#This Row],[Kolonne2]],S_Resultater!G:K,5,FALSE)</f>
        <v>#N/A</v>
      </c>
      <c r="BJ24">
        <f>VLOOKUP(Table20[[#This Row],[Kolonne2]],S_Resultater!G:L,6,FALSE)</f>
        <v>4</v>
      </c>
    </row>
    <row r="25" spans="2:62" x14ac:dyDescent="0.25">
      <c r="AT25" t="s">
        <v>247</v>
      </c>
      <c r="AU25" t="s">
        <v>87</v>
      </c>
      <c r="AV25" s="177" t="s">
        <v>214</v>
      </c>
      <c r="BG25" s="214" t="s">
        <v>123</v>
      </c>
      <c r="BH25" s="214" t="e">
        <f>VLOOKUP(Table20[[#This Row],[Kolonne2]],S_Resultater!G:K,3,FALSE)</f>
        <v>#N/A</v>
      </c>
      <c r="BI25" s="214" t="e">
        <f>VLOOKUP(Table20[[#This Row],[Kolonne2]],S_Resultater!G:K,5,FALSE)</f>
        <v>#N/A</v>
      </c>
      <c r="BJ25">
        <f>VLOOKUP(Table20[[#This Row],[Kolonne2]],S_Resultater!G:L,6,FALSE)</f>
        <v>4</v>
      </c>
    </row>
    <row r="26" spans="2:62" x14ac:dyDescent="0.25">
      <c r="AT26" t="s">
        <v>248</v>
      </c>
      <c r="AU26" t="s">
        <v>76</v>
      </c>
      <c r="AV26" t="s">
        <v>294</v>
      </c>
      <c r="BG26" s="342" t="str">
        <f>S_InputArk!I9</f>
        <v xml:space="preserve">Drift </v>
      </c>
      <c r="BH26" t="e">
        <f>VLOOKUP(Table20[[#This Row],[Kolonne2]],S_Resultater!G:K,3,FALSE)</f>
        <v>#N/A</v>
      </c>
      <c r="BI26" t="e">
        <f>VLOOKUP(Table20[[#This Row],[Kolonne2]],S_Resultater!G:K,5,FALSE)</f>
        <v>#N/A</v>
      </c>
      <c r="BJ26">
        <f>VLOOKUP(Table20[[#This Row],[Kolonne2]],S_Resultater!G:L,6,FALSE)</f>
        <v>4</v>
      </c>
    </row>
    <row r="27" spans="2:62" x14ac:dyDescent="0.25">
      <c r="AT27" t="s">
        <v>249</v>
      </c>
      <c r="AU27" t="s">
        <v>77</v>
      </c>
      <c r="AV27" t="s">
        <v>295</v>
      </c>
      <c r="BG27" s="344"/>
      <c r="BH27" t="e">
        <f>VLOOKUP(Table20[[#This Row],[Kolonne2]],S_Resultater!G:K,3,FALSE)</f>
        <v>#N/A</v>
      </c>
      <c r="BI27" t="e">
        <f>VLOOKUP(Table20[[#This Row],[Kolonne2]],S_Resultater!G:K,5,FALSE)</f>
        <v>#N/A</v>
      </c>
      <c r="BJ27">
        <f>VLOOKUP(Table20[[#This Row],[Kolonne2]],S_Resultater!G:L,6,FALSE)</f>
        <v>4</v>
      </c>
    </row>
    <row r="28" spans="2:62" x14ac:dyDescent="0.25">
      <c r="AT28" t="s">
        <v>250</v>
      </c>
      <c r="AU28" t="s">
        <v>78</v>
      </c>
      <c r="AV28" t="s">
        <v>296</v>
      </c>
      <c r="BG28" s="344"/>
      <c r="BH28" t="e">
        <f>VLOOKUP(Table20[[#This Row],[Kolonne2]],S_Resultater!G:K,3,FALSE)</f>
        <v>#N/A</v>
      </c>
      <c r="BI28" t="e">
        <f>VLOOKUP(Table20[[#This Row],[Kolonne2]],S_Resultater!G:K,5,FALSE)</f>
        <v>#N/A</v>
      </c>
      <c r="BJ28">
        <f>VLOOKUP(Table20[[#This Row],[Kolonne2]],S_Resultater!G:L,6,FALSE)</f>
        <v>4</v>
      </c>
    </row>
    <row r="29" spans="2:62" x14ac:dyDescent="0.25">
      <c r="AT29" t="s">
        <v>251</v>
      </c>
      <c r="AU29" t="s">
        <v>85</v>
      </c>
      <c r="AV29" t="s">
        <v>297</v>
      </c>
      <c r="BG29" s="344"/>
      <c r="BH29" t="e">
        <f>VLOOKUP(Table20[[#This Row],[Kolonne2]],S_Resultater!G:K,3,FALSE)</f>
        <v>#N/A</v>
      </c>
      <c r="BI29" t="e">
        <f>VLOOKUP(Table20[[#This Row],[Kolonne2]],S_Resultater!G:K,5,FALSE)</f>
        <v>#N/A</v>
      </c>
      <c r="BJ29">
        <f>VLOOKUP(Table20[[#This Row],[Kolonne2]],S_Resultater!G:L,6,FALSE)</f>
        <v>4</v>
      </c>
    </row>
    <row r="30" spans="2:62" x14ac:dyDescent="0.25">
      <c r="AT30" t="s">
        <v>252</v>
      </c>
      <c r="AU30" t="s">
        <v>86</v>
      </c>
      <c r="AV30" t="s">
        <v>298</v>
      </c>
      <c r="BG30" s="343"/>
      <c r="BH30" t="e">
        <f>VLOOKUP(Table20[[#This Row],[Kolonne2]],S_Resultater!G:K,3,FALSE)</f>
        <v>#N/A</v>
      </c>
      <c r="BI30" t="e">
        <f>VLOOKUP(Table20[[#This Row],[Kolonne2]],S_Resultater!G:K,5,FALSE)</f>
        <v>#N/A</v>
      </c>
      <c r="BJ30">
        <f>VLOOKUP(Table20[[#This Row],[Kolonne2]],S_Resultater!G:L,6,FALSE)</f>
        <v>4</v>
      </c>
    </row>
    <row r="31" spans="2:62" x14ac:dyDescent="0.25">
      <c r="AT31" t="s">
        <v>253</v>
      </c>
      <c r="AU31" t="s">
        <v>87</v>
      </c>
      <c r="AV31" s="177" t="s">
        <v>214</v>
      </c>
      <c r="BG31" s="217" t="s">
        <v>123</v>
      </c>
      <c r="BH31" s="217" t="e">
        <f>VLOOKUP(Table20[[#This Row],[Kolonne2]],S_Resultater!G:K,3,FALSE)</f>
        <v>#N/A</v>
      </c>
      <c r="BI31" s="217" t="e">
        <f>VLOOKUP(Table20[[#This Row],[Kolonne2]],S_Resultater!G:K,5,FALSE)</f>
        <v>#N/A</v>
      </c>
      <c r="BJ31">
        <f>VLOOKUP(Table20[[#This Row],[Kolonne2]],S_Resultater!G:L,6,FALSE)</f>
        <v>4</v>
      </c>
    </row>
    <row r="32" spans="2:62" x14ac:dyDescent="0.25">
      <c r="AT32" t="s">
        <v>254</v>
      </c>
      <c r="AU32" t="s">
        <v>76</v>
      </c>
      <c r="AV32" t="s">
        <v>299</v>
      </c>
      <c r="BG32" s="342" t="str">
        <f>S_InputArk!I10</f>
        <v>Evaluering</v>
      </c>
      <c r="BH32" t="e">
        <f>VLOOKUP(Table20[[#This Row],[Kolonne2]],S_Resultater!G:K,3,FALSE)</f>
        <v>#N/A</v>
      </c>
      <c r="BI32" t="e">
        <f>VLOOKUP(Table20[[#This Row],[Kolonne2]],S_Resultater!G:K,5,FALSE)</f>
        <v>#N/A</v>
      </c>
      <c r="BJ32">
        <f>VLOOKUP(Table20[[#This Row],[Kolonne2]],S_Resultater!G:L,6,FALSE)</f>
        <v>4</v>
      </c>
    </row>
    <row r="33" spans="46:62" x14ac:dyDescent="0.25">
      <c r="AT33" t="s">
        <v>255</v>
      </c>
      <c r="AU33" t="s">
        <v>77</v>
      </c>
      <c r="AV33" t="s">
        <v>300</v>
      </c>
      <c r="BG33" s="344"/>
      <c r="BH33" t="e">
        <f>VLOOKUP(Table20[[#This Row],[Kolonne2]],S_Resultater!G:K,3,FALSE)</f>
        <v>#N/A</v>
      </c>
      <c r="BI33" t="e">
        <f>VLOOKUP(Table20[[#This Row],[Kolonne2]],S_Resultater!G:K,5,FALSE)</f>
        <v>#N/A</v>
      </c>
      <c r="BJ33">
        <f>VLOOKUP(Table20[[#This Row],[Kolonne2]],S_Resultater!G:L,6,FALSE)</f>
        <v>4</v>
      </c>
    </row>
    <row r="34" spans="46:62" x14ac:dyDescent="0.25">
      <c r="AT34" t="s">
        <v>256</v>
      </c>
      <c r="AU34" t="s">
        <v>78</v>
      </c>
      <c r="AV34" t="s">
        <v>301</v>
      </c>
      <c r="BG34" s="344"/>
      <c r="BH34" t="e">
        <f>VLOOKUP(Table20[[#This Row],[Kolonne2]],S_Resultater!G:K,3,FALSE)</f>
        <v>#N/A</v>
      </c>
      <c r="BI34" t="e">
        <f>VLOOKUP(Table20[[#This Row],[Kolonne2]],S_Resultater!G:K,5,FALSE)</f>
        <v>#N/A</v>
      </c>
      <c r="BJ34">
        <f>VLOOKUP(Table20[[#This Row],[Kolonne2]],S_Resultater!G:L,6,FALSE)</f>
        <v>4</v>
      </c>
    </row>
    <row r="35" spans="46:62" x14ac:dyDescent="0.25">
      <c r="AT35" t="s">
        <v>257</v>
      </c>
      <c r="AU35" t="s">
        <v>85</v>
      </c>
      <c r="AV35" t="s">
        <v>302</v>
      </c>
      <c r="BG35" s="343"/>
      <c r="BH35" t="e">
        <f>VLOOKUP(Table20[[#This Row],[Kolonne2]],S_Resultater!G:K,3,FALSE)</f>
        <v>#N/A</v>
      </c>
      <c r="BI35" t="e">
        <f>VLOOKUP(Table20[[#This Row],[Kolonne2]],S_Resultater!G:K,5,FALSE)</f>
        <v>#N/A</v>
      </c>
      <c r="BJ35">
        <f>VLOOKUP(Table20[[#This Row],[Kolonne2]],S_Resultater!G:L,6,FALSE)</f>
        <v>4</v>
      </c>
    </row>
    <row r="36" spans="46:62" x14ac:dyDescent="0.25">
      <c r="AT36" t="s">
        <v>258</v>
      </c>
      <c r="AU36" t="s">
        <v>86</v>
      </c>
      <c r="AV36" s="177" t="s">
        <v>214</v>
      </c>
      <c r="BG36" s="216"/>
      <c r="BH36" s="216" t="e">
        <f>VLOOKUP(Table20[[#This Row],[Kolonne2]],S_Resultater!G:K,3,FALSE)</f>
        <v>#N/A</v>
      </c>
      <c r="BI36" s="216" t="e">
        <f>VLOOKUP(Table20[[#This Row],[Kolonne2]],S_Resultater!G:K,5,FALSE)</f>
        <v>#N/A</v>
      </c>
      <c r="BJ36">
        <f>VLOOKUP(Table20[[#This Row],[Kolonne2]],S_Resultater!G:L,6,FALSE)</f>
        <v>4</v>
      </c>
    </row>
    <row r="37" spans="46:62" x14ac:dyDescent="0.25">
      <c r="AT37" t="s">
        <v>259</v>
      </c>
      <c r="AU37" t="s">
        <v>87</v>
      </c>
      <c r="AV37" s="177" t="s">
        <v>214</v>
      </c>
      <c r="BG37" s="214"/>
      <c r="BH37" s="214" t="e">
        <f>VLOOKUP(Table20[[#This Row],[Kolonne2]],S_Resultater!G:K,3,FALSE)</f>
        <v>#N/A</v>
      </c>
      <c r="BI37" s="214" t="e">
        <f>VLOOKUP(Table20[[#This Row],[Kolonne2]],S_Resultater!G:K,5,FALSE)</f>
        <v>#N/A</v>
      </c>
      <c r="BJ37">
        <f>VLOOKUP(Table20[[#This Row],[Kolonne2]],S_Resultater!G:L,6,FALSE)</f>
        <v>4</v>
      </c>
    </row>
    <row r="38" spans="46:62" x14ac:dyDescent="0.25">
      <c r="AT38" t="s">
        <v>260</v>
      </c>
      <c r="AU38" t="s">
        <v>76</v>
      </c>
      <c r="AV38" t="s">
        <v>304</v>
      </c>
      <c r="BG38" s="342" t="str">
        <f>S_InputArk!I11</f>
        <v>Løbende forbedringer</v>
      </c>
      <c r="BH38" s="215" t="e">
        <f>VLOOKUP(Table20[[#This Row],[Kolonne2]],S_Resultater!G:K,3,FALSE)</f>
        <v>#N/A</v>
      </c>
      <c r="BI38" s="215" t="e">
        <f>VLOOKUP(Table20[[#This Row],[Kolonne2]],S_Resultater!G:K,5,FALSE)</f>
        <v>#N/A</v>
      </c>
      <c r="BJ38">
        <f>VLOOKUP(Table20[[#This Row],[Kolonne2]],S_Resultater!G:L,6,FALSE)</f>
        <v>4</v>
      </c>
    </row>
    <row r="39" spans="46:62" x14ac:dyDescent="0.25">
      <c r="AT39" t="s">
        <v>261</v>
      </c>
      <c r="AU39" t="s">
        <v>77</v>
      </c>
      <c r="AV39" t="s">
        <v>303</v>
      </c>
      <c r="BG39" s="343"/>
      <c r="BH39" s="183" t="e">
        <f>VLOOKUP(Table20[[#This Row],[Kolonne2]],S_Resultater!G:K,3,FALSE)</f>
        <v>#N/A</v>
      </c>
      <c r="BI39" s="183" t="e">
        <f>VLOOKUP(Table20[[#This Row],[Kolonne2]],S_Resultater!G:K,5,FALSE)</f>
        <v>#N/A</v>
      </c>
      <c r="BJ39">
        <f>VLOOKUP(Table20[[#This Row],[Kolonne2]],S_Resultater!G:L,6,FALSE)</f>
        <v>4</v>
      </c>
    </row>
    <row r="40" spans="46:62" x14ac:dyDescent="0.25">
      <c r="AT40" t="s">
        <v>262</v>
      </c>
      <c r="AU40" t="s">
        <v>78</v>
      </c>
      <c r="AV40" s="177" t="s">
        <v>214</v>
      </c>
      <c r="BG40" s="216" t="s">
        <v>123</v>
      </c>
      <c r="BH40" s="216" t="e">
        <f>VLOOKUP(Table20[[#This Row],[Kolonne2]],S_Resultater!G:K,3,FALSE)</f>
        <v>#N/A</v>
      </c>
      <c r="BI40" s="216" t="e">
        <f>VLOOKUP(Table20[[#This Row],[Kolonne2]],S_Resultater!G:K,5,FALSE)</f>
        <v>#N/A</v>
      </c>
      <c r="BJ40">
        <f>VLOOKUP(Table20[[#This Row],[Kolonne2]],S_Resultater!G:L,6,FALSE)</f>
        <v>4</v>
      </c>
    </row>
    <row r="41" spans="46:62" x14ac:dyDescent="0.25">
      <c r="AT41" t="s">
        <v>263</v>
      </c>
      <c r="AU41" t="s">
        <v>85</v>
      </c>
      <c r="AV41" s="177" t="s">
        <v>214</v>
      </c>
      <c r="BG41" s="218" t="s">
        <v>123</v>
      </c>
      <c r="BH41" s="218" t="e">
        <f>VLOOKUP(Table20[[#This Row],[Kolonne2]],S_Resultater!G:K,3,FALSE)</f>
        <v>#N/A</v>
      </c>
      <c r="BI41" s="218" t="e">
        <f>VLOOKUP(Table20[[#This Row],[Kolonne2]],S_Resultater!G:K,5,FALSE)</f>
        <v>#N/A</v>
      </c>
      <c r="BJ41">
        <f>VLOOKUP(Table20[[#This Row],[Kolonne2]],S_Resultater!G:L,6,FALSE)</f>
        <v>4</v>
      </c>
    </row>
    <row r="42" spans="46:62" x14ac:dyDescent="0.25">
      <c r="AT42" t="s">
        <v>264</v>
      </c>
      <c r="AU42" t="s">
        <v>86</v>
      </c>
      <c r="AV42" s="177" t="s">
        <v>214</v>
      </c>
      <c r="BG42" s="218" t="s">
        <v>123</v>
      </c>
      <c r="BH42" s="218" t="e">
        <f>VLOOKUP(Table20[[#This Row],[Kolonne2]],S_Resultater!G:K,3,FALSE)</f>
        <v>#N/A</v>
      </c>
      <c r="BI42" s="218" t="e">
        <f>VLOOKUP(Table20[[#This Row],[Kolonne2]],S_Resultater!G:K,5,FALSE)</f>
        <v>#N/A</v>
      </c>
      <c r="BJ42">
        <f>VLOOKUP(Table20[[#This Row],[Kolonne2]],S_Resultater!G:L,6,FALSE)</f>
        <v>4</v>
      </c>
    </row>
    <row r="43" spans="46:62" x14ac:dyDescent="0.25">
      <c r="AT43" t="s">
        <v>265</v>
      </c>
      <c r="AU43" t="s">
        <v>87</v>
      </c>
      <c r="AV43" s="177" t="s">
        <v>214</v>
      </c>
      <c r="BG43" s="214" t="s">
        <v>123</v>
      </c>
      <c r="BH43" s="214" t="e">
        <f>VLOOKUP(Table20[[#This Row],[Kolonne2]],S_Resultater!G:K,3,FALSE)</f>
        <v>#N/A</v>
      </c>
      <c r="BI43" s="214" t="e">
        <f>VLOOKUP(Table20[[#This Row],[Kolonne2]],S_Resultater!G:K,5,FALSE)</f>
        <v>#N/A</v>
      </c>
      <c r="BJ43">
        <f>VLOOKUP(Table20[[#This Row],[Kolonne2]],S_Resultater!G:L,6,FALSE)</f>
        <v>4</v>
      </c>
    </row>
    <row r="44" spans="46:62" x14ac:dyDescent="0.25">
      <c r="AT44" t="s">
        <v>266</v>
      </c>
      <c r="AU44" t="s">
        <v>76</v>
      </c>
      <c r="AV44" t="s">
        <v>305</v>
      </c>
      <c r="BG44" s="342" t="str">
        <f>S_InputArk!I12</f>
        <v>Leverandørstyring</v>
      </c>
      <c r="BH44" t="e">
        <f>VLOOKUP(Table20[[#This Row],[Kolonne2]],S_Resultater!G:K,3,FALSE)</f>
        <v>#N/A</v>
      </c>
      <c r="BI44" t="e">
        <f>VLOOKUP(Table20[[#This Row],[Kolonne2]],S_Resultater!G:K,5,FALSE)</f>
        <v>#N/A</v>
      </c>
      <c r="BJ44">
        <f>VLOOKUP(Table20[[#This Row],[Kolonne2]],S_Resultater!G:L,6,FALSE)</f>
        <v>4</v>
      </c>
    </row>
    <row r="45" spans="46:62" x14ac:dyDescent="0.25">
      <c r="AT45" t="s">
        <v>267</v>
      </c>
      <c r="AU45" t="s">
        <v>77</v>
      </c>
      <c r="AV45" t="s">
        <v>306</v>
      </c>
      <c r="BG45" s="344"/>
      <c r="BH45" t="e">
        <f>VLOOKUP(Table20[[#This Row],[Kolonne2]],S_Resultater!G:K,3,FALSE)</f>
        <v>#N/A</v>
      </c>
      <c r="BI45" t="e">
        <f>VLOOKUP(Table20[[#This Row],[Kolonne2]],S_Resultater!G:K,5,FALSE)</f>
        <v>#N/A</v>
      </c>
      <c r="BJ45">
        <f>VLOOKUP(Table20[[#This Row],[Kolonne2]],S_Resultater!G:L,6,FALSE)</f>
        <v>4</v>
      </c>
    </row>
    <row r="46" spans="46:62" x14ac:dyDescent="0.25">
      <c r="AT46" t="s">
        <v>268</v>
      </c>
      <c r="AU46" t="s">
        <v>78</v>
      </c>
      <c r="AV46" t="s">
        <v>307</v>
      </c>
      <c r="BG46" s="344"/>
      <c r="BH46" t="e">
        <f>VLOOKUP(Table20[[#This Row],[Kolonne2]],S_Resultater!G:K,3,FALSE)</f>
        <v>#N/A</v>
      </c>
      <c r="BI46" t="e">
        <f>VLOOKUP(Table20[[#This Row],[Kolonne2]],S_Resultater!G:K,5,FALSE)</f>
        <v>#N/A</v>
      </c>
      <c r="BJ46">
        <f>VLOOKUP(Table20[[#This Row],[Kolonne2]],S_Resultater!G:L,6,FALSE)</f>
        <v>4</v>
      </c>
    </row>
    <row r="47" spans="46:62" x14ac:dyDescent="0.25">
      <c r="AT47" t="s">
        <v>269</v>
      </c>
      <c r="AU47" t="s">
        <v>85</v>
      </c>
      <c r="AV47" t="s">
        <v>308</v>
      </c>
      <c r="BG47" s="343"/>
      <c r="BH47" t="e">
        <f>VLOOKUP(Table20[[#This Row],[Kolonne2]],S_Resultater!G:K,3,FALSE)</f>
        <v>#N/A</v>
      </c>
      <c r="BI47" t="e">
        <f>VLOOKUP(Table20[[#This Row],[Kolonne2]],S_Resultater!G:K,5,FALSE)</f>
        <v>#N/A</v>
      </c>
      <c r="BJ47">
        <f>VLOOKUP(Table20[[#This Row],[Kolonne2]],S_Resultater!G:L,6,FALSE)</f>
        <v>4</v>
      </c>
    </row>
    <row r="48" spans="46:62" x14ac:dyDescent="0.25">
      <c r="AT48" t="s">
        <v>270</v>
      </c>
      <c r="AU48" t="s">
        <v>86</v>
      </c>
      <c r="AV48" s="177" t="s">
        <v>214</v>
      </c>
      <c r="BG48" s="216" t="s">
        <v>123</v>
      </c>
      <c r="BH48" s="216" t="e">
        <f>VLOOKUP(Table20[[#This Row],[Kolonne2]],S_Resultater!G:K,3,FALSE)</f>
        <v>#N/A</v>
      </c>
      <c r="BI48" s="216" t="e">
        <f>VLOOKUP(Table20[[#This Row],[Kolonne2]],S_Resultater!G:K,5,FALSE)</f>
        <v>#N/A</v>
      </c>
      <c r="BJ48">
        <f>VLOOKUP(Table20[[#This Row],[Kolonne2]],S_Resultater!G:L,6,FALSE)</f>
        <v>4</v>
      </c>
    </row>
    <row r="49" spans="46:62" x14ac:dyDescent="0.25">
      <c r="AT49" t="s">
        <v>271</v>
      </c>
      <c r="AU49" t="s">
        <v>87</v>
      </c>
      <c r="AV49" s="177" t="s">
        <v>214</v>
      </c>
      <c r="BG49" s="214" t="s">
        <v>123</v>
      </c>
      <c r="BH49" s="214" t="e">
        <f>VLOOKUP(Table20[[#This Row],[Kolonne2]],S_Resultater!G:K,3,FALSE)</f>
        <v>#N/A</v>
      </c>
      <c r="BI49" s="214" t="e">
        <f>VLOOKUP(Table20[[#This Row],[Kolonne2]],S_Resultater!G:K,5,FALSE)</f>
        <v>#N/A</v>
      </c>
      <c r="BJ49">
        <f>VLOOKUP(Table20[[#This Row],[Kolonne2]],S_Resultater!G:L,6,FALSE)</f>
        <v>4</v>
      </c>
    </row>
    <row r="50" spans="46:62" x14ac:dyDescent="0.25">
      <c r="AT50" t="s">
        <v>272</v>
      </c>
      <c r="AU50" t="s">
        <v>76</v>
      </c>
      <c r="AV50" t="s">
        <v>309</v>
      </c>
      <c r="BG50" s="342" t="str">
        <f>S_InputArk!I13</f>
        <v>Beredskabsplaner</v>
      </c>
      <c r="BH50" t="e">
        <f>VLOOKUP(Table20[[#This Row],[Kolonne2]],S_Resultater!G:K,3,FALSE)</f>
        <v>#N/A</v>
      </c>
      <c r="BI50" t="e">
        <f>VLOOKUP(Table20[[#This Row],[Kolonne2]],S_Resultater!G:K,5,FALSE)</f>
        <v>#N/A</v>
      </c>
      <c r="BJ50">
        <f>VLOOKUP(Table20[[#This Row],[Kolonne2]],S_Resultater!G:L,6,FALSE)</f>
        <v>4</v>
      </c>
    </row>
    <row r="51" spans="46:62" x14ac:dyDescent="0.25">
      <c r="AT51" t="s">
        <v>273</v>
      </c>
      <c r="AU51" t="s">
        <v>77</v>
      </c>
      <c r="AV51" t="s">
        <v>310</v>
      </c>
      <c r="BG51" s="344"/>
      <c r="BH51" t="e">
        <f>VLOOKUP(Table20[[#This Row],[Kolonne2]],S_Resultater!G:K,3,FALSE)</f>
        <v>#N/A</v>
      </c>
      <c r="BI51" t="e">
        <f>VLOOKUP(Table20[[#This Row],[Kolonne2]],S_Resultater!G:K,5,FALSE)</f>
        <v>#N/A</v>
      </c>
      <c r="BJ51">
        <f>VLOOKUP(Table20[[#This Row],[Kolonne2]],S_Resultater!G:L,6,FALSE)</f>
        <v>4</v>
      </c>
    </row>
    <row r="52" spans="46:62" x14ac:dyDescent="0.25">
      <c r="AT52" t="s">
        <v>274</v>
      </c>
      <c r="AU52" t="s">
        <v>78</v>
      </c>
      <c r="AV52" t="s">
        <v>311</v>
      </c>
      <c r="BG52" s="344"/>
      <c r="BH52" t="e">
        <f>VLOOKUP(Table20[[#This Row],[Kolonne2]],S_Resultater!G:K,3,FALSE)</f>
        <v>#N/A</v>
      </c>
      <c r="BI52" t="e">
        <f>VLOOKUP(Table20[[#This Row],[Kolonne2]],S_Resultater!G:K,5,FALSE)</f>
        <v>#N/A</v>
      </c>
      <c r="BJ52">
        <f>VLOOKUP(Table20[[#This Row],[Kolonne2]],S_Resultater!G:L,6,FALSE)</f>
        <v>4</v>
      </c>
    </row>
    <row r="53" spans="46:62" x14ac:dyDescent="0.25">
      <c r="AT53" t="s">
        <v>275</v>
      </c>
      <c r="AU53" t="s">
        <v>85</v>
      </c>
      <c r="AV53" t="s">
        <v>323</v>
      </c>
      <c r="BG53" s="343"/>
      <c r="BH53" t="e">
        <f>VLOOKUP(Table20[[#This Row],[Kolonne2]],S_Resultater!G:K,3,FALSE)</f>
        <v>#N/A</v>
      </c>
      <c r="BI53" t="e">
        <f>VLOOKUP(Table20[[#This Row],[Kolonne2]],S_Resultater!G:K,5,FALSE)</f>
        <v>#N/A</v>
      </c>
      <c r="BJ53">
        <f>VLOOKUP(Table20[[#This Row],[Kolonne2]],S_Resultater!G:L,6,FALSE)</f>
        <v>4</v>
      </c>
    </row>
    <row r="54" spans="46:62" x14ac:dyDescent="0.25">
      <c r="AT54" t="s">
        <v>276</v>
      </c>
      <c r="AU54" t="s">
        <v>86</v>
      </c>
      <c r="AV54" s="177" t="s">
        <v>214</v>
      </c>
      <c r="BG54" s="216" t="s">
        <v>123</v>
      </c>
      <c r="BH54" s="216" t="e">
        <f>VLOOKUP(Table20[[#This Row],[Kolonne2]],S_Resultater!G:K,3,FALSE)</f>
        <v>#N/A</v>
      </c>
      <c r="BI54" s="216" t="e">
        <f>VLOOKUP(Table20[[#This Row],[Kolonne2]],S_Resultater!G:K,5,FALSE)</f>
        <v>#N/A</v>
      </c>
      <c r="BJ54">
        <f>VLOOKUP(Table20[[#This Row],[Kolonne2]],S_Resultater!G:L,6,FALSE)</f>
        <v>4</v>
      </c>
    </row>
    <row r="55" spans="46:62" x14ac:dyDescent="0.25">
      <c r="AT55" t="s">
        <v>277</v>
      </c>
      <c r="AU55" t="s">
        <v>87</v>
      </c>
      <c r="AV55" s="177" t="s">
        <v>214</v>
      </c>
      <c r="BG55" s="214" t="s">
        <v>123</v>
      </c>
      <c r="BH55" s="214" t="e">
        <f>VLOOKUP(Table20[[#This Row],[Kolonne2]],S_Resultater!G:K,3,FALSE)</f>
        <v>#N/A</v>
      </c>
      <c r="BI55" s="214" t="e">
        <f>VLOOKUP(Table20[[#This Row],[Kolonne2]],S_Resultater!G:K,5,FALSE)</f>
        <v>#N/A</v>
      </c>
      <c r="BJ55">
        <f>VLOOKUP(Table20[[#This Row],[Kolonne2]],S_Resultater!G:L,6,FALSE)</f>
        <v>4</v>
      </c>
    </row>
    <row r="56" spans="46:62" x14ac:dyDescent="0.25">
      <c r="AT56" t="s">
        <v>278</v>
      </c>
      <c r="BH56" t="e">
        <f>VLOOKUP(Table20[[#This Row],[Kolonne2]],S_Resultater!G:K,3,FALSE)</f>
        <v>#N/A</v>
      </c>
      <c r="BI56" t="e">
        <f>VLOOKUP(Table20[[#This Row],[Kolonne2]],S_Resultater!G:K,5,FALSE)</f>
        <v>#N/A</v>
      </c>
    </row>
    <row r="57" spans="46:62" x14ac:dyDescent="0.25">
      <c r="AT57" t="s">
        <v>279</v>
      </c>
      <c r="BH57" t="e">
        <f>VLOOKUP(Table20[[#This Row],[Kolonne2]],S_Resultater!G:K,3,FALSE)</f>
        <v>#N/A</v>
      </c>
      <c r="BI57" t="e">
        <f>VLOOKUP(Table20[[#This Row],[Kolonne2]],S_Resultater!G:K,5,FALSE)</f>
        <v>#N/A</v>
      </c>
    </row>
    <row r="58" spans="46:62" x14ac:dyDescent="0.25">
      <c r="AT58" t="s">
        <v>280</v>
      </c>
      <c r="BH58" t="e">
        <f>VLOOKUP(Table20[[#This Row],[Kolonne2]],S_Resultater!G:K,3,FALSE)</f>
        <v>#N/A</v>
      </c>
      <c r="BI58" t="e">
        <f>VLOOKUP(Table20[[#This Row],[Kolonne2]],S_Resultater!G:K,5,FALSE)</f>
        <v>#N/A</v>
      </c>
    </row>
    <row r="59" spans="46:62" x14ac:dyDescent="0.25">
      <c r="AT59" t="s">
        <v>281</v>
      </c>
      <c r="BH59" t="e">
        <f>VLOOKUP(Table20[[#This Row],[Kolonne2]],S_Resultater!G:K,3,FALSE)</f>
        <v>#N/A</v>
      </c>
      <c r="BI59" t="e">
        <f>VLOOKUP(Table20[[#This Row],[Kolonne2]],S_Resultater!G:K,5,FALSE)</f>
        <v>#N/A</v>
      </c>
    </row>
    <row r="60" spans="46:62" x14ac:dyDescent="0.25">
      <c r="AT60" t="s">
        <v>282</v>
      </c>
      <c r="BH60" t="e">
        <f>VLOOKUP(Table20[[#This Row],[Kolonne2]],S_Resultater!G:K,3,FALSE)</f>
        <v>#N/A</v>
      </c>
      <c r="BI60" t="e">
        <f>VLOOKUP(Table20[[#This Row],[Kolonne2]],S_Resultater!G:K,5,FALSE)</f>
        <v>#N/A</v>
      </c>
    </row>
    <row r="61" spans="46:62" x14ac:dyDescent="0.25">
      <c r="AT61" t="s">
        <v>283</v>
      </c>
      <c r="BH61" t="e">
        <f>VLOOKUP(Table20[[#This Row],[Kolonne2]],S_Resultater!G:K,3,FALSE)</f>
        <v>#N/A</v>
      </c>
      <c r="BI61" t="e">
        <f>VLOOKUP(Table20[[#This Row],[Kolonne2]],S_Resultater!G:K,5,FALSE)</f>
        <v>#N/A</v>
      </c>
    </row>
  </sheetData>
  <mergeCells count="9">
    <mergeCell ref="BG38:BG39"/>
    <mergeCell ref="BG50:BG53"/>
    <mergeCell ref="BG44:BG47"/>
    <mergeCell ref="BG2:BG5"/>
    <mergeCell ref="BG8:BG10"/>
    <mergeCell ref="BG14:BG19"/>
    <mergeCell ref="BG20:BG24"/>
    <mergeCell ref="BG26:BG30"/>
    <mergeCell ref="BG32:BG35"/>
  </mergeCells>
  <pageMargins left="0.7" right="0.7" top="0.75" bottom="0.75" header="0.3" footer="0.3"/>
  <pageSetup paperSize="9" orientation="portrait" r:id="rId1"/>
  <drawing r:id="rId2"/>
  <tableParts count="27">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DE0986D7-D040-4D20-A9BB-0AAF152108F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35</vt:i4>
      </vt:variant>
    </vt:vector>
  </HeadingPairs>
  <TitlesOfParts>
    <vt:vector size="42" baseType="lpstr">
      <vt:lpstr>1 Forside</vt:lpstr>
      <vt:lpstr>2 Vejledning</vt:lpstr>
      <vt:lpstr>3 Spørgeramme</vt:lpstr>
      <vt:lpstr>4 Opsummering</vt:lpstr>
      <vt:lpstr>S_InputArk</vt:lpstr>
      <vt:lpstr>S_Resultater</vt:lpstr>
      <vt:lpstr>S_Lookupsheet</vt:lpstr>
      <vt:lpstr>Beskæftigelsesministeriet</vt:lpstr>
      <vt:lpstr>BørneogUndervisningsministeriet</vt:lpstr>
      <vt:lpstr>CopyRange</vt:lpstr>
      <vt:lpstr>Date</vt:lpstr>
      <vt:lpstr>DigitaliseringsogLigestillingsministeriet</vt:lpstr>
      <vt:lpstr>Erhvervsministeriet</vt:lpstr>
      <vt:lpstr>Finansministeriet</vt:lpstr>
      <vt:lpstr>Forsvarsministeriet</vt:lpstr>
      <vt:lpstr>IndenrigsogSundhedsministeriet</vt:lpstr>
      <vt:lpstr>InputColumns_NR</vt:lpstr>
      <vt:lpstr>Justitsministeriet</vt:lpstr>
      <vt:lpstr>KlimaEnergiogForsyningsministeriet</vt:lpstr>
      <vt:lpstr>Kulturministeriet</vt:lpstr>
      <vt:lpstr>kvalitetsstyringsprincip</vt:lpstr>
      <vt:lpstr>Mail</vt:lpstr>
      <vt:lpstr>Ministerie_2</vt:lpstr>
      <vt:lpstr>MinisterietforFødevarerLandbrugogFiskeri</vt:lpstr>
      <vt:lpstr>MinisterietforKirkeLanddistrikterogNordisksamarbejde</vt:lpstr>
      <vt:lpstr>MinisterietforUdviklingssamarbejdeogGlobalklimapolitik</vt:lpstr>
      <vt:lpstr>Ministerium</vt:lpstr>
      <vt:lpstr>Ministeriuminput</vt:lpstr>
      <vt:lpstr>ModelSetting_NR</vt:lpstr>
      <vt:lpstr>Modenhedsgrad</vt:lpstr>
      <vt:lpstr>Name</vt:lpstr>
      <vt:lpstr>Område</vt:lpstr>
      <vt:lpstr>Skatteministeriet</vt:lpstr>
      <vt:lpstr>SocialBoligogÆldreministeriet</vt:lpstr>
      <vt:lpstr>Spørgeramme</vt:lpstr>
      <vt:lpstr>Styrelse</vt:lpstr>
      <vt:lpstr>Transportministeriet</vt:lpstr>
      <vt:lpstr>UddannelsesogForskningsministeriet</vt:lpstr>
      <vt:lpstr>Udenrigsministeriet</vt:lpstr>
      <vt:lpstr>UdlændingeogIntegrationsministeriet</vt:lpstr>
      <vt:lpstr>'4 Opsummering'!Udskriftsområde</vt:lpstr>
      <vt:lpstr>ØkonomiogIndenrigsministeriet</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Hansen Rynning</dc:creator>
  <cp:lastModifiedBy>Christian Vikkelsø Hougaard</cp:lastModifiedBy>
  <cp:lastPrinted>2018-06-22T06:50:02Z</cp:lastPrinted>
  <dcterms:created xsi:type="dcterms:W3CDTF">2018-06-08T07:05:28Z</dcterms:created>
  <dcterms:modified xsi:type="dcterms:W3CDTF">2024-03-05T13:34:35Z</dcterms:modified>
</cp:coreProperties>
</file>